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Instructions" sheetId="1" state="visible" r:id="rId1"/>
    <sheet xmlns:r="http://schemas.openxmlformats.org/officeDocument/2006/relationships" name="01_ControlPanel" sheetId="2" state="visible" r:id="rId2"/>
    <sheet xmlns:r="http://schemas.openxmlformats.org/officeDocument/2006/relationships" name="02_MasterData" sheetId="3" state="visible" r:id="rId3"/>
    <sheet xmlns:r="http://schemas.openxmlformats.org/officeDocument/2006/relationships" name="03_AnnexII_Application" sheetId="4" state="visible" r:id="rId4"/>
    <sheet xmlns:r="http://schemas.openxmlformats.org/officeDocument/2006/relationships" name="04_AnnexIII_Undertaking" sheetId="5" state="visible" r:id="rId5"/>
    <sheet xmlns:r="http://schemas.openxmlformats.org/officeDocument/2006/relationships" name="05_AnnexIV_Renewal" sheetId="6" state="visible" r:id="rId6"/>
    <sheet xmlns:r="http://schemas.openxmlformats.org/officeDocument/2006/relationships" name="06_AnnexV_ReimbClaim" sheetId="7" state="visible" r:id="rId7"/>
    <sheet xmlns:r="http://schemas.openxmlformats.org/officeDocument/2006/relationships" name="07_AnnexVI_DirectPay" sheetId="8" state="visible" r:id="rId8"/>
    <sheet xmlns:r="http://schemas.openxmlformats.org/officeDocument/2006/relationships" name="08_AnnexVII_Change" sheetId="9" state="visible" r:id="rId9"/>
    <sheet xmlns:r="http://schemas.openxmlformats.org/officeDocument/2006/relationships" name="09_AnnexVIII_Withdraw" sheetId="10" state="visible" r:id="rId10"/>
    <sheet xmlns:r="http://schemas.openxmlformats.org/officeDocument/2006/relationships" name="10_Eligibility" sheetId="11" state="visible" r:id="rId11"/>
    <sheet xmlns:r="http://schemas.openxmlformats.org/officeDocument/2006/relationships" name="11_Reconciliation" sheetId="12" state="visible" r:id="rId12"/>
    <sheet xmlns:r="http://schemas.openxmlformats.org/officeDocument/2006/relationships" name="12_ErrorLog" sheetId="13" state="visible" r:id="rId13"/>
    <sheet xmlns:r="http://schemas.openxmlformats.org/officeDocument/2006/relationships" name="13_Documents" sheetId="14" state="visible" r:id="rId14"/>
    <sheet xmlns:r="http://schemas.openxmlformats.org/officeDocument/2006/relationships" name="98_Institutions" sheetId="15" state="hidden" r:id="rId15"/>
    <sheet xmlns:r="http://schemas.openxmlformats.org/officeDocument/2006/relationships" name="99_Lookups" sheetId="16" state="hidden" r:id="rId16"/>
  </sheets>
  <definedNames>
    <definedName name="L_District">99_Lookups!$A$2:$A$24</definedName>
    <definedName name="L_Board">99_Lookups!$B$2:$B$10</definedName>
    <definedName name="L_Rel">99_Lookups!$C$2:$C$5</definedName>
    <definedName name="L_Comp">99_Lookups!$D$2:$D$3</definedName>
    <definedName name="L_Level">99_Lookups!$E$2:$E$3</definedName>
    <definedName name="L_YN">99_Lookups!$F$2:$F$3</definedName>
    <definedName name="L_Cat">99_Lookups!$G$2:$G$5</definedName>
    <definedName name="L_Band">99_Lookups!$H$2:$H$5</definedName>
    <definedName name="L_Pay">99_Lookups!$I$2:$I$3</definedName>
    <definedName name="L_Intake">99_Lookups!$J$2:$J$6</definedName>
    <definedName name="L_Mode">99_Lookups!$K$2:$K$2</definedName>
    <definedName name="L_Cur">99_Lookups!$L$2:$L$13</definedName>
    <definedName name="L_Req">99_Lookups!$M$2:$M$5</definedName>
    <definedName name="L_WD">99_Lookups!$N$2:$N$8</definedName>
    <definedName name="L_Doc">99_Lookups!$O$2:$O$4</definedName>
    <definedName name="L_Gen">99_Lookups!$P$2:$P$4</definedName>
    <definedName name="L_AcType">99_Lookups!$Q$2:$Q$3</definedName>
    <definedName name="NM_ID">02_MasterData!$C$7</definedName>
    <definedName name="NM_NAME">02_MasterData!$C$8</definedName>
    <definedName name="NM_DOB">02_MasterData!$C$9</definedName>
    <definedName name="NM_MOB">02_MasterData!$C$11</definedName>
    <definedName name="NM_MAIL">02_MasterData!$C$12</definedName>
    <definedName name="NM_UID">02_MasterData!$C$13</definedName>
    <definedName name="NM_ADDR">02_MasterData!$C$14</definedName>
    <definedName name="NM_DIST">02_MasterData!$C$15</definedName>
    <definedName name="NM_PIN">02_MasterData!$C$16</definedName>
    <definedName name="NM_ORPH">02_MasterData!$C$17</definedName>
    <definedName name="NM_SCH">02_MasterData!$C$20</definedName>
    <definedName name="NM_SCHDIST">02_MasterData!$C$21</definedName>
    <definedName name="NM_BRD">02_MasterData!$C$22</definedName>
    <definedName name="NM_X">02_MasterData!$C$23</definedName>
    <definedName name="NM_XII">02_MasterData!$C$24</definedName>
    <definedName name="NM_MODE">02_MasterData!$C$25</definedName>
    <definedName name="NM_PAR">02_MasterData!$C$28</definedName>
    <definedName name="NM_REL">02_MasterData!$C$29</definedName>
    <definedName name="NM_ELC">02_MasterData!$C$30</definedName>
    <definedName name="NM_EPIC">02_MasterData!$C$31</definedName>
    <definedName name="NM_CON">02_MasterData!$C$32</definedName>
    <definedName name="NM_COMP">02_MasterData!$C$35</definedName>
    <definedName name="NM_LVL">02_MasterData!$C$36</definedName>
    <definedName name="NM_CTRY">02_MasterData!$C$37</definedName>
    <definedName name="NM_PROG">02_MasterData!$C$40</definedName>
    <definedName name="NM_REG">02_MasterData!$C$41</definedName>
    <definedName name="NM_ADT">02_MasterData!$C$42</definedName>
    <definedName name="NM_DUR">02_MasterData!$C$43</definedName>
    <definedName name="NM_DUNIT">02_MasterData!$C$44</definedName>
    <definedName name="NM_INTK">02_MasterData!$C$45</definedName>
    <definedName name="NM_FT">02_MasterData!$C$46</definedName>
    <definedName name="NM_RES">02_MasterData!$C$47</definedName>
    <definedName name="NM_CAT">02_MasterData!$C$50</definedName>
    <definedName name="NM_STAT">02_MasterData!$C$51</definedName>
    <definedName name="NM_RNK">02_MasterData!$C$52</definedName>
    <definedName name="NM_RYR">02_MasterData!$C$53</definedName>
    <definedName name="NM_PVT">02_MasterData!$C$54</definedName>
    <definedName name="NM_PAY">02_MasterData!$C$57</definedName>
    <definedName name="NM_TUIT">02_MasterData!$C$58</definedName>
    <definedName name="NM_TCUR">02_MasterData!$C$59</definedName>
    <definedName name="NM_HI">02_MasterData!$C$60</definedName>
    <definedName name="NM_HCUR">02_MasterData!$C$61</definedName>
    <definedName name="NM_OTH">02_MasterData!$C$62</definedName>
    <definedName name="NM_OSRC">02_MasterData!$C$63</definedName>
    <definedName name="NM_OAMT">02_MasterData!$C$64</definedName>
    <definedName name="NM_AH">02_MasterData!$C$67</definedName>
    <definedName name="NM_BANK">02_MasterData!$C$68</definedName>
    <definedName name="NM_BRN">02_MasterData!$C$69</definedName>
    <definedName name="NM_AC">02_MasterData!$C$70</definedName>
    <definedName name="NM_IFSC">02_MasterData!$C$71</definedName>
    <definedName name="NM_SVMS">02_MasterData!$C$74</definedName>
    <definedName name="NM_BNUB">02_MasterData!$C$75</definedName>
    <definedName name="NM_SDET">02_MasterData!$C$76</definedName>
    <definedName name="NM_D1">02_MasterData!$C$79</definedName>
    <definedName name="NM_D2">02_MasterData!$C$80</definedName>
    <definedName name="NM_D3">02_MasterData!$C$81</definedName>
    <definedName name="NM_PLC">02_MasterData!$C$82</definedName>
    <definedName name="NM_DDT">02_MasterData!$C$83</definedName>
    <definedName name="NM_BAND">02_MasterData!$C$86</definedName>
    <definedName name="NM_RATE">02_MasterData!$C$87</definedName>
    <definedName name="NM_GROSS">02_MasterData!$C$88</definedName>
    <definedName name="NM_NET">02_MasterData!$C$89</definedName>
    <definedName name="NM_END">02_MasterData!$C$93</definedName>
    <definedName name="L_Ctry_DOM">'98_Institutions'!$P$2:$P$2</definedName>
    <definedName name="L_Ctry_INT">'98_Institutions'!$O$2:$O$24</definedName>
    <definedName name="L_States_DOM">'98_Institutions'!$N$2:$N$33</definedName>
    <definedName name="L_NA">'98_Institutions'!$Q$2:$Q$2</definedName>
    <definedName name="L_InstDB">'98_Institutions'!$A$2:$L$286</definedName>
    <definedName name="ST_Andhra_Pradesh">'98_Institutions'!$R$2:$R$12</definedName>
    <definedName name="ST_Arunachal_Pradesh">'98_Institutions'!$S$2:$S$2</definedName>
    <definedName name="ST_Assam">'98_Institutions'!$T$2:$T$8</definedName>
    <definedName name="ST_Bihar">'98_Institutions'!$U$2:$U$9</definedName>
    <definedName name="ST_Chandigarh">'98_Institutions'!$V$2:$V$2</definedName>
    <definedName name="ST_Chhattisgarh">'98_Institutions'!$W$2:$W$5</definedName>
    <definedName name="ST_Delhi">'98_Institutions'!$X$2:$X$9</definedName>
    <definedName name="ST_Goa">'98_Institutions'!$Y$2:$Y$3</definedName>
    <definedName name="ST_Gujarat">'98_Institutions'!$Z$2:$Z$13</definedName>
    <definedName name="ST_Haryana">'98_Institutions'!$AA$2:$AA$7</definedName>
    <definedName name="ST_Himachal_Pradesh">'98_Institutions'!$AB$2:$AB$6</definedName>
    <definedName name="ST_Jammu_and_Kashmir">'98_Institutions'!$AC$2:$AC$5</definedName>
    <definedName name="ST_Jharkhand">'98_Institutions'!$AD$2:$AD$6</definedName>
    <definedName name="ST_Karnataka">'98_Institutions'!$AE$2:$AE$8</definedName>
    <definedName name="ST_Kerala">'98_Institutions'!$AF$2:$AF$9</definedName>
    <definedName name="ST_Madhya_Pradesh">'98_Institutions'!$AG$2:$AG$11</definedName>
    <definedName name="ST_Maharashtra">'98_Institutions'!$AH$2:$AH$10</definedName>
    <definedName name="ST_Manipur">'98_Institutions'!$AI$2:$AI$3</definedName>
    <definedName name="ST_Meghalaya">'98_Institutions'!$AJ$2:$AJ$3</definedName>
    <definedName name="ST_Mizoram">'98_Institutions'!$AK$2:$AK$2</definedName>
    <definedName name="ST_Nagaland">'98_Institutions'!$AL$2:$AL$2</definedName>
    <definedName name="ST_Odisha">'98_Institutions'!$AM$2:$AM$6</definedName>
    <definedName name="ST_Puducherry">'98_Institutions'!$AN$2:$AN$3</definedName>
    <definedName name="ST_Punjab">'98_Institutions'!$AO$2:$AO$7</definedName>
    <definedName name="ST_Rajasthan">'98_Institutions'!$AP$2:$AP$6</definedName>
    <definedName name="ST_Sikkim">'98_Institutions'!$AQ$2:$AQ$2</definedName>
    <definedName name="ST_Tamil_Nadu">'98_Institutions'!$AR$2:$AR$12</definedName>
    <definedName name="ST_Telangana">'98_Institutions'!$AS$2:$AS$6</definedName>
    <definedName name="ST_Tripura">'98_Institutions'!$AT$2:$AT$3</definedName>
    <definedName name="ST_Uttar_Pradesh">'98_Institutions'!$AU$2:$AU$17</definedName>
    <definedName name="ST_Uttarakhand">'98_Institutions'!$AV$2:$AV$5</definedName>
    <definedName name="ST_West_Bengal">'98_Institutions'!$AW$2:$AW$13</definedName>
    <definedName name="INST_Argentina">'98_Institutions'!$AX$2:$AX$2</definedName>
    <definedName name="INST_Australia">'98_Institutions'!$AY$2:$AY$10</definedName>
    <definedName name="INST_Belgium">'98_Institutions'!$AZ$2:$AZ$2</definedName>
    <definedName name="INST_Canada">'98_Institutions'!$BA$2:$BA$5</definedName>
    <definedName name="INST_China">'98_Institutions'!$BB$2:$BB$7</definedName>
    <definedName name="INST_Denmark">'98_Institutions'!$BC$2:$BC$2</definedName>
    <definedName name="INST_France">'98_Institutions'!$BD$2:$BD$5</definedName>
    <definedName name="INST_Germany">'98_Institutions'!$BE$2:$BE$5</definedName>
    <definedName name="INST_Hong_Kong_SAR_China">'98_Institutions'!$BF$2:$BF$6</definedName>
    <definedName name="INST_Ireland">'98_Institutions'!$BG$2:$BG$3</definedName>
    <definedName name="INST_Italy">'98_Institutions'!$BH$2:$BH$2</definedName>
    <definedName name="INST_Japan">'98_Institutions'!$BI$2:$BI$5</definedName>
    <definedName name="INST_Malaysia">'98_Institutions'!$BJ$2:$BJ$2</definedName>
    <definedName name="INST_Netherlands">'98_Institutions'!$BK$2:$BK$3</definedName>
    <definedName name="INST_New_Zealand">'98_Institutions'!$BL$2:$BL$2</definedName>
    <definedName name="INST_Republic_of_Korea">'98_Institutions'!$BM$2:$BM$5</definedName>
    <definedName name="INST_Saudi_Arabia">'98_Institutions'!$BN$2:$BN$2</definedName>
    <definedName name="INST_Singapore">'98_Institutions'!$BO$2:$BO$3</definedName>
    <definedName name="INST_Sweden">'98_Institutions'!$BP$2:$BP$4</definedName>
    <definedName name="INST_Switzerland">'98_Institutions'!$BQ$2:$BQ$4</definedName>
    <definedName name="INST_Taiwan">'98_Institutions'!$BR$2:$BR$2</definedName>
    <definedName name="INST_United_Kingdom">'98_Institutions'!$BS$2:$BS$17</definedName>
    <definedName name="INST_United_States">'98_Institutions'!$BT$2:$BT$27</definedName>
    <definedName name="NM_ST">02_MasterData!$C$38</definedName>
    <definedName name="NM_INST">02_MasterData!$C$39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1">
    <font>
      <name val="Calibri"/>
      <family val="2"/>
      <color theme="1"/>
      <sz val="11"/>
      <scheme val="minor"/>
    </font>
    <font>
      <name val="Calibri"/>
      <sz val="11"/>
    </font>
    <font>
      <name val="Calibri"/>
      <color rgb="00006600"/>
      <sz val="11"/>
    </font>
    <font>
      <name val="Calibri"/>
      <b val="1"/>
      <color rgb="00FFFFFF"/>
      <sz val="12"/>
    </font>
    <font>
      <name val="Calibri"/>
      <b val="1"/>
      <color rgb="00FFFFFF"/>
      <sz val="13"/>
    </font>
    <font>
      <name val="Calibri"/>
      <i val="1"/>
      <color rgb="00333333"/>
      <sz val="10"/>
    </font>
    <font>
      <name val="Calibri"/>
      <color rgb="000000FF"/>
      <sz val="11"/>
    </font>
    <font>
      <name val="Calibri"/>
      <color rgb="00666666"/>
      <sz val="9"/>
    </font>
    <font>
      <name val="Calibri"/>
      <b val="1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F4F6F7"/>
      </patternFill>
    </fill>
    <fill>
      <patternFill patternType="solid">
        <fgColor rgb="001B365D"/>
      </patternFill>
    </fill>
    <fill>
      <patternFill patternType="solid">
        <fgColor rgb="00D35400"/>
      </patternFill>
    </fill>
    <fill>
      <patternFill patternType="solid">
        <fgColor rgb="00FBF5E9"/>
      </patternFill>
    </fill>
    <fill>
      <patternFill patternType="solid">
        <fgColor rgb="00FFF3BF"/>
      </patternFill>
    </fill>
  </fills>
  <borders count="10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E8C39E"/>
      </left>
      <right style="thin">
        <color rgb="00E8C39E"/>
      </right>
      <top style="thin">
        <color rgb="00E8C39E"/>
      </top>
      <bottom style="thin">
        <color rgb="00E8C39E"/>
      </bottom>
    </border>
    <border>
      <left/>
      <right/>
      <top style="thin">
        <color rgb="00E8C39E"/>
      </top>
      <bottom/>
      <diagonal/>
    </border>
    <border>
      <left style="thin">
        <color rgb="00E8C39E"/>
      </left>
      <right/>
      <top/>
      <bottom/>
      <diagonal/>
    </border>
    <border>
      <left/>
      <right style="thin">
        <color rgb="00E8C39E"/>
      </right>
      <top style="thin">
        <color rgb="00E8C39E"/>
      </top>
      <bottom/>
      <diagonal/>
    </border>
    <border>
      <left/>
      <right style="thin">
        <color rgb="00E8C39E"/>
      </right>
      <top/>
      <bottom/>
      <diagonal/>
    </border>
    <border>
      <left style="thin">
        <color rgb="00E8C39E"/>
      </left>
      <right/>
      <top/>
      <bottom style="thin">
        <color rgb="00E8C39E"/>
      </bottom>
      <diagonal/>
    </border>
    <border>
      <left/>
      <right/>
      <top/>
      <bottom style="thin">
        <color rgb="00E8C39E"/>
      </bottom>
      <diagonal/>
    </border>
    <border>
      <left/>
      <right style="thin">
        <color rgb="00E8C39E"/>
      </right>
      <top/>
      <bottom style="thin">
        <color rgb="00E8C39E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9" fillId="4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5" borderId="0" applyAlignment="1" pivotButton="0" quotePrefix="0" xfId="0">
      <alignment vertical="center" wrapText="1"/>
    </xf>
    <xf numFmtId="0" fontId="6" fillId="6" borderId="1" applyAlignment="1" applyProtection="1" pivotButton="0" quotePrefix="0" xfId="0">
      <alignment vertical="center" wrapText="1"/>
      <protection locked="0" hidden="0"/>
    </xf>
    <xf numFmtId="49" fontId="6" fillId="6" borderId="1" applyAlignment="1" applyProtection="1" pivotButton="0" quotePrefix="0" xfId="0">
      <alignment vertical="center" wrapText="1"/>
      <protection locked="0" hidden="0"/>
    </xf>
    <xf numFmtId="49" fontId="2" fillId="2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10" fillId="3" borderId="0" applyAlignment="1" pivotButton="0" quotePrefix="0" xfId="0">
      <alignment vertical="center" wrapText="1"/>
    </xf>
    <xf numFmtId="0" fontId="10" fillId="3" borderId="0" pivotButton="0" quotePrefix="0" xfId="0"/>
    <xf numFmtId="0" fontId="2" fillId="2" borderId="0" pivotButton="0" quotePrefix="0" xfId="0"/>
    <xf numFmtId="0" fontId="8" fillId="0" borderId="0" pivotButton="0" quotePrefix="0" xfId="0"/>
    <xf numFmtId="164" fontId="2" fillId="2" borderId="0" applyAlignment="1" pivotButton="0" quotePrefix="0" xfId="0">
      <alignment vertical="center" wrapText="1"/>
    </xf>
    <xf numFmtId="164" fontId="6" fillId="6" borderId="1" applyAlignment="1" applyProtection="1" pivotButton="0" quotePrefix="0" xfId="0">
      <alignment vertical="center" wrapText="1"/>
      <protection locked="0" hidden="0"/>
    </xf>
    <xf numFmtId="0" fontId="6" fillId="6" borderId="2" applyAlignment="1" applyProtection="1" pivotButton="0" quotePrefix="0" xfId="0">
      <alignment vertical="center" wrapText="1"/>
      <protection locked="0" hidden="0"/>
    </xf>
    <xf numFmtId="164" fontId="6" fillId="6" borderId="2" applyAlignment="1" applyProtection="1" pivotButton="0" quotePrefix="0" xfId="0">
      <alignment vertical="center" wrapText="1"/>
      <protection locked="0" hidden="0"/>
    </xf>
    <xf numFmtId="164" fontId="0" fillId="0" borderId="0" pivotButton="0" quotePrefix="0" xfId="0"/>
    <xf numFmtId="0" fontId="0" fillId="0" borderId="3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2" customWidth="1" min="3" max="3"/>
    <col width="24" customWidth="1" min="4" max="4"/>
    <col width="22" customWidth="1" min="5" max="5"/>
    <col width="18" customWidth="1" min="6" max="6"/>
    <col width="18" customWidth="1" min="7" max="7"/>
    <col width="18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INSTRUCTIONS  •  SELF-CONTAINED DATA-CAPTURE UTILITY</t>
        </is>
      </c>
    </row>
    <row r="4">
      <c r="A4" s="4" t="inlineStr">
        <is>
          <t>Designed like an Income-tax Excel utility  |  One scholar per file  |  G.O. No. 336-(T)10M-15/2026 dated 09.09.2026  |  Template v1.3</t>
        </is>
      </c>
    </row>
    <row r="6">
      <c r="A6" s="5" t="inlineStr">
        <is>
          <t>1. Purpose</t>
        </is>
      </c>
    </row>
    <row r="7">
      <c r="A7" s="5" t="inlineStr">
        <is>
          <t>This workbook captures every student-facing SVMS format (Annexures II to VIII). Complete one file for one applicant. Values typed on 02_MasterData flow into the annexure sheets. Continuation, reimbursement, direct-pay, change and withdrawal line items are reconciled against the Master and the Eligibility Engine.</t>
        </is>
      </c>
    </row>
    <row r="8">
      <c r="A8" s="5" t="inlineStr">
        <is>
          <t>2. Colour legend</t>
        </is>
      </c>
    </row>
    <row r="9">
      <c r="A9" s="5" t="inlineStr">
        <is>
          <t>YELLOW + BLUE FONT = type or choose (unlocked).  GREY + GREEN FONT = formula — do not overwrite.  SAFFRON = section.  PINK = error.  GREEN = pass.  Fields marked * are mandatory for a READY filing.</t>
        </is>
      </c>
    </row>
    <row r="10">
      <c r="A10" s="5" t="inlineStr">
        <is>
          <t>3. Sequence</t>
        </is>
      </c>
    </row>
    <row r="11">
      <c r="A11" s="5" t="inlineStr">
        <is>
          <t>Read this sheet → fill 02_MasterData → 13_Documents → 04 Annex-III (before first disbursement) → review 03 Annex-II print image → then 05/06/07/08/09 as the event arises. Watch 01_ControlPanel and 12_ErrorLog until READY TO SUBMIT.</t>
        </is>
      </c>
    </row>
    <row r="12">
      <c r="A12" s="5" t="inlineStr">
        <is>
          <t>4. Built-in reconciliation</t>
        </is>
      </c>
    </row>
    <row r="13">
      <c r="A13" s="5" t="inlineStr">
        <is>
          <t>Pick Component → Country → State/UT (Domestic) → Institution. Category, Overall rank, year and private-status are looked up. Full-time defaults to Yes; International residential defaults to Yes; elector defaults to scholar (orphan) or parent. Annex-IV / V / VI pull identity from Master; Annex-IV institution follows an Annex-VII change when recorded. Annex-VII new-institution names use the same eligible list. A withdrawal on Annex-VIII blocks new claims and direct-pay. Annex-VI: fill only the block that matches Component. Type Aadhaar as 12-digit text. Press F9 after changing Component / Country / State.</t>
        </is>
      </c>
    </row>
    <row r="15">
      <c r="A15" s="5" t="inlineStr">
        <is>
          <t>5. Protection</t>
        </is>
      </c>
    </row>
    <row r="16">
      <c r="A16" s="5" t="inlineStr">
        <is>
          <t>Sheets are protected; only yellow cells accept input. Unprotect password if the template must be extended: SVMS2026. Do not unprotect for ordinary filing.</t>
        </is>
      </c>
    </row>
    <row r="17">
      <c r="A17" s="5" t="inlineStr">
        <is>
          <t>6. Why this works without a vendor macro pack</t>
        </is>
      </c>
    </row>
    <row r="18">
      <c r="A18" s="5" t="inlineStr">
        <is>
          <t>The validation engine is formula-driven so the file opens in Microsoft Excel, WPS and LibreOffice. Dependent drop-downs and register look-ups use hidden sheet 98_Institutions (freeze 28 Sep 2026). If a drop-down looks empty after changing Component, Country or State, press F9 and open the list again.</t>
        </is>
      </c>
    </row>
    <row r="19">
      <c r="A19" s="5" t="inlineStr">
        <is>
          <t>7. Legal source</t>
        </is>
      </c>
    </row>
    <row r="20">
      <c r="A20" s="5" t="inlineStr">
        <is>
          <t>Notification No. 336-(T)10M-15/2026 dated 9 September 2026 and the SVMS Guidelines (Annexure-I) with formats at Annexures II–VIII. This template does not amend any right or obligation. Portal field structure may be adapted without changing substance (Guideline 10).</t>
        </is>
      </c>
    </row>
    <row r="21">
      <c r="A21" s="5" t="inlineStr">
        <is>
          <t>8. Data protection</t>
        </is>
      </c>
    </row>
    <row r="22">
      <c r="A22" s="5" t="inlineStr">
        <is>
          <t>Process personal data only for administration of SVMS under the Digital Personal Data Protection Act, 2023. Do not circulate a completed file over unsecured channels.</t>
        </is>
      </c>
    </row>
    <row r="23">
      <c r="A23" s="5" t="inlineStr">
        <is>
          <t>9. Workbook map</t>
        </is>
      </c>
    </row>
    <row r="24">
      <c r="A24" s="5" t="inlineStr">
        <is>
          <t>Sheet</t>
        </is>
      </c>
      <c r="B24" s="5" t="inlineStr">
        <is>
          <t>Role</t>
        </is>
      </c>
      <c r="C24" s="5" t="inlineStr">
        <is>
          <t>Who types</t>
        </is>
      </c>
      <c r="D24" s="5" t="inlineStr">
        <is>
          <t>When mandatory</t>
        </is>
      </c>
    </row>
    <row r="25">
      <c r="A25" s="5" t="inlineStr">
        <is>
          <t>00_Instructions</t>
        </is>
      </c>
      <c r="B25" s="5" t="inlineStr">
        <is>
          <t>How to use the utility</t>
        </is>
      </c>
      <c r="C25" s="5" t="inlineStr">
        <is>
          <t>Read only</t>
        </is>
      </c>
      <c r="D25" s="5" t="inlineStr">
        <is>
          <t>—</t>
        </is>
      </c>
    </row>
    <row r="26">
      <c r="A26" s="5" t="inlineStr">
        <is>
          <t>01_ControlPanel</t>
        </is>
      </c>
      <c r="B26" s="5" t="inlineStr">
        <is>
          <t>Filing status, READY gate, amount snapshot</t>
        </is>
      </c>
      <c r="C26" s="5" t="inlineStr">
        <is>
          <t>System + optional office fields</t>
        </is>
      </c>
      <c r="D26" s="5" t="inlineStr">
        <is>
          <t>Review</t>
        </is>
      </c>
    </row>
    <row r="27">
      <c r="A27" s="5" t="inlineStr">
        <is>
          <t>02_MasterData</t>
        </is>
      </c>
      <c r="B27" s="5" t="inlineStr">
        <is>
          <t>Single source of truth</t>
        </is>
      </c>
      <c r="C27" s="5" t="inlineStr">
        <is>
          <t>Applicant / dealing assistant</t>
        </is>
      </c>
      <c r="D27" s="5" t="inlineStr">
        <is>
          <t>YES</t>
        </is>
      </c>
    </row>
    <row r="28">
      <c r="A28" s="5" t="inlineStr">
        <is>
          <t>03_AnnexII_Application</t>
        </is>
      </c>
      <c r="B28" s="5" t="inlineStr">
        <is>
          <t>Printable Annexure-II (linked)</t>
        </is>
      </c>
      <c r="C28" s="5" t="inlineStr">
        <is>
          <t>System</t>
        </is>
      </c>
      <c r="D28" s="5" t="inlineStr">
        <is>
          <t>Review</t>
        </is>
      </c>
    </row>
    <row r="29">
      <c r="A29" s="5" t="inlineStr">
        <is>
          <t>04_AnnexIII_Undertaking</t>
        </is>
      </c>
      <c r="B29" s="5" t="inlineStr">
        <is>
          <t>Agreement before first disbursement</t>
        </is>
      </c>
      <c r="C29" s="5" t="inlineStr">
        <is>
          <t>Scholar Yes/No</t>
        </is>
      </c>
      <c r="D29" s="5" t="inlineStr">
        <is>
          <t>Before 1st payment</t>
        </is>
      </c>
    </row>
    <row r="30">
      <c r="A30" s="5" t="inlineStr">
        <is>
          <t>05_AnnexIV_Renewal</t>
        </is>
      </c>
      <c r="B30" s="5" t="inlineStr">
        <is>
          <t>Continuation / renewal rows</t>
        </is>
      </c>
      <c r="C30" s="5" t="inlineStr">
        <is>
          <t>Each academic period</t>
        </is>
      </c>
      <c r="D30" s="5" t="inlineStr">
        <is>
          <t>Next period</t>
        </is>
      </c>
    </row>
    <row r="31">
      <c r="A31" s="5" t="inlineStr">
        <is>
          <t>06_AnnexV_ReimbClaim</t>
        </is>
      </c>
      <c r="B31" s="5" t="inlineStr">
        <is>
          <t>DBT reimbursement claims</t>
        </is>
      </c>
      <c r="C31" s="5" t="inlineStr">
        <is>
          <t>When DBT chosen</t>
        </is>
      </c>
      <c r="D31" s="5" t="inlineStr">
        <is>
          <t>If DBT</t>
        </is>
      </c>
    </row>
    <row r="32">
      <c r="A32" s="5" t="inlineStr">
        <is>
          <t>07_AnnexVI_DirectPay</t>
        </is>
      </c>
      <c r="B32" s="5" t="inlineStr">
        <is>
          <t>Direct-payment authorisation</t>
        </is>
      </c>
      <c r="C32" s="5" t="inlineStr">
        <is>
          <t>When Direct Pay chosen</t>
        </is>
      </c>
      <c r="D32" s="5" t="inlineStr">
        <is>
          <t>If direct pay</t>
        </is>
      </c>
    </row>
    <row r="33">
      <c r="A33" s="5" t="inlineStr">
        <is>
          <t>08_AnnexVII_Change</t>
        </is>
      </c>
      <c r="B33" s="5" t="inlineStr">
        <is>
          <t>Deferral / LoA / change</t>
        </is>
      </c>
      <c r="C33" s="5" t="inlineStr">
        <is>
          <t>When the event occurs</t>
        </is>
      </c>
      <c r="D33" s="5" t="inlineStr">
        <is>
          <t>Event-driven</t>
        </is>
      </c>
    </row>
    <row r="34">
      <c r="A34" s="5" t="inlineStr">
        <is>
          <t>09_AnnexVIII_Withdraw</t>
        </is>
      </c>
      <c r="B34" s="5" t="inlineStr">
        <is>
          <t>Withdrawal intimation</t>
        </is>
      </c>
      <c r="C34" s="5" t="inlineStr">
        <is>
          <t>When the event occurs</t>
        </is>
      </c>
      <c r="D34" s="5" t="inlineStr">
        <is>
          <t>Event-driven</t>
        </is>
      </c>
    </row>
    <row r="35">
      <c r="A35" s="5" t="inlineStr">
        <is>
          <t>10_Eligibility</t>
        </is>
      </c>
      <c r="B35" s="5" t="inlineStr">
        <is>
          <t>Rule-by-rule PASS/FAIL/NA</t>
        </is>
      </c>
      <c r="C35" s="5" t="inlineStr">
        <is>
          <t>System</t>
        </is>
      </c>
      <c r="D35" s="5" t="inlineStr">
        <is>
          <t>Review</t>
        </is>
      </c>
    </row>
    <row r="36">
      <c r="A36" s="5" t="inlineStr">
        <is>
          <t>11_Reconciliation</t>
        </is>
      </c>
      <c r="B36" s="5" t="inlineStr">
        <is>
          <t>Fee, support, claims, refunds</t>
        </is>
      </c>
      <c r="C36" s="5" t="inlineStr">
        <is>
          <t>System + limited office inputs</t>
        </is>
      </c>
      <c r="D36" s="5" t="inlineStr">
        <is>
          <t>Review</t>
        </is>
      </c>
    </row>
    <row r="37">
      <c r="A37" s="5" t="inlineStr">
        <is>
          <t>12_ErrorLog</t>
        </is>
      </c>
      <c r="B37" s="5" t="inlineStr">
        <is>
          <t>Every contradiction / missing mandatory</t>
        </is>
      </c>
      <c r="C37" s="5" t="inlineStr">
        <is>
          <t>System</t>
        </is>
      </c>
      <c r="D37" s="5" t="inlineStr">
        <is>
          <t>Clear ERRORs</t>
        </is>
      </c>
    </row>
    <row r="38">
      <c r="A38" s="5" t="inlineStr">
        <is>
          <t>13_Documents</t>
        </is>
      </c>
      <c r="B38" s="5" t="inlineStr">
        <is>
          <t>Guideline 5.1 / Annex-II(H) checklist</t>
        </is>
      </c>
      <c r="C38" s="5" t="inlineStr">
        <is>
          <t>Dealing assistant</t>
        </is>
      </c>
      <c r="D38" s="5" t="inlineStr">
        <is>
          <t>YES</t>
        </is>
      </c>
    </row>
    <row r="39">
      <c r="A39" s="5" t="inlineStr">
        <is>
          <t>99_Lookups</t>
        </is>
      </c>
      <c r="B39" s="5" t="inlineStr">
        <is>
          <t>Hidden controlled lists</t>
        </is>
      </c>
      <c r="C39" s="5" t="inlineStr">
        <is>
          <t>Do not edit</t>
        </is>
      </c>
      <c r="D39" s="5" t="inlineStr">
        <is>
          <t>—</t>
        </is>
      </c>
    </row>
    <row r="41">
      <c r="A41" s="5" t="inlineStr">
        <is>
          <t>Template 1.0  •  AY 2026-27 onwards  •  Not a substitute for SVMS Portal filing  •  Use to assemble, validate and archive a consistent annexure pack.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22">
    <mergeCell ref="A9:H9"/>
    <mergeCell ref="A15:H15"/>
    <mergeCell ref="A11:H11"/>
    <mergeCell ref="A1:H1"/>
    <mergeCell ref="A6:H6"/>
    <mergeCell ref="A7:H7"/>
    <mergeCell ref="A16:H16"/>
    <mergeCell ref="A41:H41"/>
    <mergeCell ref="A12:H12"/>
    <mergeCell ref="A18:H18"/>
    <mergeCell ref="A3:H3"/>
    <mergeCell ref="A21:H21"/>
    <mergeCell ref="A2:H2"/>
    <mergeCell ref="A23:H23"/>
    <mergeCell ref="A8:H8"/>
    <mergeCell ref="A22:H22"/>
    <mergeCell ref="A17:H17"/>
    <mergeCell ref="A4:H4"/>
    <mergeCell ref="A20:H20"/>
    <mergeCell ref="A10:H10"/>
    <mergeCell ref="A13:H13"/>
    <mergeCell ref="A19:H19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30" customWidth="1" min="3" max="3"/>
    <col width="28" customWidth="1" min="4" max="4"/>
    <col width="28" customWidth="1" min="5" max="5"/>
    <col width="24" customWidth="1" min="6" max="6"/>
    <col width="22" customWidth="1" min="7" max="7"/>
    <col width="22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CONTROL PANEL  •  VALIDATE  •  READY GATE</t>
        </is>
      </c>
    </row>
    <row r="4">
      <c r="A4" s="4" t="inlineStr">
        <is>
          <t>Live snapshot  |  Clear every ERROR on 12_ErrorLog before treating the file as complete</t>
        </is>
      </c>
    </row>
    <row r="6">
      <c r="A6" s="5" t="inlineStr">
        <is>
          <t>A. File identity</t>
        </is>
      </c>
    </row>
    <row r="7">
      <c r="B7" s="5" t="inlineStr">
        <is>
          <t>Template version</t>
        </is>
      </c>
      <c r="C7" s="6">
        <f>99_Lookups!S5</f>
        <v/>
      </c>
      <c r="E7" s="5" t="inlineStr">
        <is>
          <t>Dealing office / District (optional)</t>
        </is>
      </c>
      <c r="F7" s="5" t="n"/>
    </row>
    <row r="8">
      <c r="B8" s="5" t="inlineStr">
        <is>
          <t>Governing Notification</t>
        </is>
      </c>
      <c r="C8" s="6">
        <f>"G.O. No. "&amp;99_Lookups!S3&amp;" dated "&amp;TEXT(99_Lookups!S4,"dd-mmm-yyyy")</f>
        <v/>
      </c>
      <c r="E8" s="5" t="inlineStr">
        <is>
          <t>File reference (office diary no.)</t>
        </is>
      </c>
      <c r="F8" s="5" t="n"/>
    </row>
    <row r="9">
      <c r="B9" s="5" t="inlineStr">
        <is>
          <t>Fresh-admission cut-off</t>
        </is>
      </c>
      <c r="C9" s="6">
        <f>99_Lookups!S2</f>
        <v/>
      </c>
      <c r="E9" s="5" t="inlineStr">
        <is>
          <t>Portal Application ID</t>
        </is>
      </c>
      <c r="F9" s="6">
        <f>NM_ID</f>
        <v/>
      </c>
    </row>
    <row r="10">
      <c r="B10" s="5" t="inlineStr">
        <is>
          <t>System date</t>
        </is>
      </c>
      <c r="C10" s="6">
        <f>TODAY()</f>
        <v/>
      </c>
    </row>
    <row r="12">
      <c r="A12" s="5" t="inlineStr">
        <is>
          <t>B. Scholar snapshot (from Master)</t>
        </is>
      </c>
    </row>
    <row r="13">
      <c r="B13" s="5" t="inlineStr">
        <is>
          <t>Scholar name</t>
        </is>
      </c>
      <c r="C13" s="6">
        <f>NM_NAME</f>
        <v/>
      </c>
    </row>
    <row r="14">
      <c r="B14" s="5" t="inlineStr">
        <is>
          <t>Component / Level</t>
        </is>
      </c>
      <c r="C14" s="6">
        <f>NM_COMP&amp;"  |  "&amp;NM_LVL</f>
        <v/>
      </c>
    </row>
    <row r="15">
      <c r="B15" s="5" t="inlineStr">
        <is>
          <t>Institution / Programme</t>
        </is>
      </c>
      <c r="C15" s="6">
        <f>NM_INST&amp;IFERROR(" ("&amp;INDEX('98_Institutions'!$I$2:$I$400,MATCH(NM_CTRY&amp;"|"&amp;NM_INST,'98_Institutions'!$L$2:$L$400,0))&amp;")","")&amp;"  |  "&amp;NM_PROG</f>
        <v/>
      </c>
    </row>
    <row r="16">
      <c r="B16" s="5" t="inlineStr">
        <is>
          <t>Date of admission</t>
        </is>
      </c>
      <c r="C16" s="19">
        <f>NM_ADT</f>
        <v/>
      </c>
    </row>
    <row r="17">
      <c r="B17" s="5" t="inlineStr">
        <is>
          <t>Preferred payment mode</t>
        </is>
      </c>
      <c r="C17" s="6">
        <f>NM_PAY</f>
        <v/>
      </c>
    </row>
    <row r="18">
      <c r="B18" s="5" t="inlineStr">
        <is>
          <t>Computed support band</t>
        </is>
      </c>
      <c r="C18" s="6">
        <f>NM_BAND</f>
        <v/>
      </c>
    </row>
    <row r="19">
      <c r="B19" t="inlineStr">
        <is>
          <t>City / State or country</t>
        </is>
      </c>
      <c r="C19" s="17">
        <f>IFERROR(INDEX('98_Institutions'!$I$2:$I$400,MATCH(NM_CTRY&amp;"|"&amp;NM_INST,'98_Institutions'!$L$2:$L$400,0)),"")&amp;IF(NM_ST="","","  |  "&amp;NM_ST)&amp;IF(NM_CTRY="","","  |  "&amp;NM_CTRY)</f>
        <v/>
      </c>
    </row>
    <row r="20">
      <c r="A20" s="5" t="inlineStr">
        <is>
          <t>C. READY GATE</t>
        </is>
      </c>
    </row>
    <row r="21">
      <c r="B21" s="5" t="inlineStr">
        <is>
          <t>Mandatory Master live-checks clear?</t>
        </is>
      </c>
      <c r="C21" s="6">
        <f>12_ErrorLog!F6</f>
        <v/>
      </c>
    </row>
    <row r="22">
      <c r="B22" s="5" t="inlineStr">
        <is>
          <t>ERROR count (must be 0)</t>
        </is>
      </c>
      <c r="C22" s="6">
        <f>12_ErrorLog!C6</f>
        <v/>
      </c>
    </row>
    <row r="23">
      <c r="B23" s="5" t="inlineStr">
        <is>
          <t>WARNING count</t>
        </is>
      </c>
      <c r="C23" s="6">
        <f>12_ErrorLog!C7</f>
        <v/>
      </c>
    </row>
    <row r="24">
      <c r="B24" s="5" t="inlineStr">
        <is>
          <t>Eligibility result</t>
        </is>
      </c>
      <c r="C24" s="6">
        <f>10_Eligibility!C6</f>
        <v/>
      </c>
    </row>
    <row r="25">
      <c r="B25" s="5" t="inlineStr">
        <is>
          <t>Annex-III executed</t>
        </is>
      </c>
      <c r="C25" s="6">
        <f>04_AnnexIII_Undertaking!C40</f>
        <v/>
      </c>
    </row>
    <row r="26">
      <c r="B26" s="5" t="inlineStr">
        <is>
          <t>Document checklist</t>
        </is>
      </c>
      <c r="C26" s="6">
        <f>13_Documents!C5</f>
        <v/>
      </c>
    </row>
    <row r="27">
      <c r="B27" s="5" t="inlineStr">
        <is>
          <t>Withdrawal on file?</t>
        </is>
      </c>
      <c r="C27" s="6">
        <f>IF(09_AnnexVIII_Withdraw!C12="","No","YES — "&amp;TEXT(09_AnnexVIII_Withdraw!C12,"dd-mmm-yyyy"))</f>
        <v/>
      </c>
    </row>
    <row r="29">
      <c r="B29" s="5" t="inlineStr">
        <is>
          <t>OVERALL FILING STATUS</t>
        </is>
      </c>
      <c r="C29" s="6">
        <f>IF(AND(12_ErrorLog!C6=0,10_Eligibility!C6="ELIGIBLE",13_Documents!C5="COMPLETE"),"READY TO SUBMIT","NOT READY — see 12_ErrorLog and 10_Eligibility")</f>
        <v/>
      </c>
    </row>
    <row r="31">
      <c r="A31" s="5" t="inlineStr">
        <is>
          <t>D. Amount snapshot</t>
        </is>
      </c>
    </row>
    <row r="32">
      <c r="B32" s="5" t="inlineStr">
        <is>
          <t>Approved tuition (Master, relevant period)</t>
        </is>
      </c>
      <c r="C32" s="6">
        <f>NM_TUIT</f>
        <v/>
      </c>
    </row>
    <row r="33">
      <c r="B33" s="5" t="inlineStr">
        <is>
          <t>Mandatory health insurance (Master)</t>
        </is>
      </c>
      <c r="C33" s="6">
        <f>NM_HI</f>
        <v/>
      </c>
    </row>
    <row r="34">
      <c r="B34" s="5" t="inlineStr">
        <is>
          <t>Other assistance to be adjusted</t>
        </is>
      </c>
      <c r="C34" s="6">
        <f>NM_OAMT</f>
        <v/>
      </c>
    </row>
    <row r="35">
      <c r="B35" s="5" t="inlineStr">
        <is>
          <t>Computed admissible support (current period)</t>
        </is>
      </c>
      <c r="C35" s="6">
        <f>11_Reconciliation!C12</f>
        <v/>
      </c>
    </row>
    <row r="36">
      <c r="B36" s="5" t="inlineStr">
        <is>
          <t>Sum of reimbursement claims (admissible)</t>
        </is>
      </c>
      <c r="C36" s="6">
        <f>11_Reconciliation!C18</f>
        <v/>
      </c>
    </row>
    <row r="37">
      <c r="B37" s="5" t="inlineStr">
        <is>
          <t>Direct-payment amount proposed</t>
        </is>
      </c>
      <c r="C37" s="6">
        <f>11_Reconciliation!C19</f>
        <v/>
      </c>
    </row>
    <row r="38">
      <c r="B38" s="5" t="inlineStr">
        <is>
          <t>Net position</t>
        </is>
      </c>
      <c r="C38" s="6">
        <f>11_Reconciliation!C21</f>
        <v/>
      </c>
    </row>
    <row r="40">
      <c r="B40" s="5" t="inlineStr">
        <is>
          <t>READY TO SUBMIT only when ERROR count = 0, Eligibility = ELIGIBLE and Documents = COMPLETE. WARNINGS do not block READY but must be reviewed. Annex-III must read ALL ACCEPTED before first disbursement.</t>
        </is>
      </c>
    </row>
    <row r="41"/>
    <row r="42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25">
    <mergeCell ref="C17:F17"/>
    <mergeCell ref="C23:F23"/>
    <mergeCell ref="B40:H42"/>
    <mergeCell ref="A1:H1"/>
    <mergeCell ref="C19:F19"/>
    <mergeCell ref="A6:H6"/>
    <mergeCell ref="C13:F13"/>
    <mergeCell ref="C18:F18"/>
    <mergeCell ref="C15:F15"/>
    <mergeCell ref="C24:F24"/>
    <mergeCell ref="C14:F14"/>
    <mergeCell ref="A12:H12"/>
    <mergeCell ref="A3:H3"/>
    <mergeCell ref="A2:H2"/>
    <mergeCell ref="C26:F26"/>
    <mergeCell ref="C29:F29"/>
    <mergeCell ref="C16:F16"/>
    <mergeCell ref="C25:F25"/>
    <mergeCell ref="C8:D8"/>
    <mergeCell ref="C22:F22"/>
    <mergeCell ref="A4:H4"/>
    <mergeCell ref="A20:H20"/>
    <mergeCell ref="C21:F21"/>
    <mergeCell ref="C27:F27"/>
    <mergeCell ref="A31:H3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36" customWidth="1" min="3" max="3"/>
    <col width="14" customWidth="1" min="4" max="4"/>
    <col width="30" customWidth="1" min="5" max="5"/>
    <col width="42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02  •  MASTER DATA  (SINGLE SOURCE OF TRUTH)</t>
        </is>
      </c>
    </row>
    <row r="4">
      <c r="A4" s="4" t="inlineStr">
        <is>
          <t>Type only in YELLOW cells  |  * = mandatory  |  Values flow to every other sheet</t>
        </is>
      </c>
    </row>
    <row r="5">
      <c r="A5" s="5" t="inlineStr">
        <is>
          <t>Code</t>
        </is>
      </c>
      <c r="B5" s="5" t="inlineStr">
        <is>
          <t>Field</t>
        </is>
      </c>
      <c r="C5" s="5" t="inlineStr">
        <is>
          <t>Value (type / choose)</t>
        </is>
      </c>
      <c r="D5" s="5" t="inlineStr">
        <is>
          <t>Mand.</t>
        </is>
      </c>
      <c r="E5" s="5" t="inlineStr">
        <is>
          <t>Live check</t>
        </is>
      </c>
      <c r="F5" s="5" t="inlineStr">
        <is>
          <t>Guidance</t>
        </is>
      </c>
    </row>
    <row r="6">
      <c r="A6" s="7" t="inlineStr">
        <is>
          <t>A. Applicant details  (Annexure-II-A)</t>
        </is>
      </c>
    </row>
    <row r="7">
      <c r="A7" s="8" t="inlineStr">
        <is>
          <t>APP.ID</t>
        </is>
      </c>
      <c r="B7" s="9" t="inlineStr">
        <is>
          <t>Application / Scholar ID (portal-generated, if allotted)</t>
        </is>
      </c>
      <c r="C7" s="10" t="n"/>
      <c r="D7" s="5" t="inlineStr">
        <is>
          <t>No</t>
        </is>
      </c>
      <c r="E7" s="6">
        <f>IF(C7="","Optional","OK")</f>
        <v/>
      </c>
      <c r="F7" s="5" t="inlineStr">
        <is>
          <t>Join key for later annexures.</t>
        </is>
      </c>
    </row>
    <row r="8">
      <c r="A8" s="8" t="inlineStr">
        <is>
          <t>APP.NAME</t>
        </is>
      </c>
      <c r="B8" s="9" t="inlineStr">
        <is>
          <t>Name of applicant (as in Aadhaar / Offer Letter) *</t>
        </is>
      </c>
      <c r="C8" s="10" t="n"/>
      <c r="D8" s="5" t="inlineStr">
        <is>
          <t>Yes</t>
        </is>
      </c>
      <c r="E8" s="6">
        <f>IF(C8="","MISSING","OK")</f>
        <v/>
      </c>
      <c r="F8" s="5" t="inlineStr">
        <is>
          <t>No honorific. Must match Offer Letter and DBT account.</t>
        </is>
      </c>
    </row>
    <row r="9">
      <c r="A9" s="8" t="inlineStr">
        <is>
          <t>APP.DOB</t>
        </is>
      </c>
      <c r="B9" s="9" t="inlineStr">
        <is>
          <t>Date of birth *</t>
        </is>
      </c>
      <c r="C9" s="20" t="n"/>
      <c r="D9" s="5" t="inlineStr">
        <is>
          <t>Yes</t>
        </is>
      </c>
      <c r="E9" s="6">
        <f>IF(C9="","MISSING",IF(ISNUMBER(C9),"OK","INVALID DATE"))</f>
        <v/>
      </c>
      <c r="F9" s="5" t="inlineStr">
        <is>
          <t>dd-mmm-yyyy.</t>
        </is>
      </c>
    </row>
    <row r="10">
      <c r="A10" s="8" t="inlineStr">
        <is>
          <t>APP.GEN</t>
        </is>
      </c>
      <c r="B10" s="9" t="inlineStr">
        <is>
          <t>Gender (MIS field; not in the G.O. form)</t>
        </is>
      </c>
      <c r="C10" s="10" t="n"/>
      <c r="D10" s="5" t="inlineStr">
        <is>
          <t>No</t>
        </is>
      </c>
      <c r="E10" s="6">
        <f>IF(C10="","—","OK")</f>
        <v/>
      </c>
      <c r="F10" s="5" t="inlineStr">
        <is>
          <t>Drop-down.</t>
        </is>
      </c>
    </row>
    <row r="11">
      <c r="A11" s="8" t="inlineStr">
        <is>
          <t>APP.MOB</t>
        </is>
      </c>
      <c r="B11" s="9" t="inlineStr">
        <is>
          <t>Mobile number *</t>
        </is>
      </c>
      <c r="C11" s="10" t="n"/>
      <c r="D11" s="5" t="inlineStr">
        <is>
          <t>Yes</t>
        </is>
      </c>
      <c r="E11" s="6">
        <f>IF(C11="","MISSING",IF(AND(ISNUMBER(C11),LEN(TEXT(C11,"0"))=10),"OK","MUST BE 10 DIGITS"))</f>
        <v/>
      </c>
      <c r="F11" s="5" t="inlineStr">
        <is>
          <t>Exactly 10 digits.</t>
        </is>
      </c>
    </row>
    <row r="12">
      <c r="A12" s="8" t="inlineStr">
        <is>
          <t>APP.MAIL</t>
        </is>
      </c>
      <c r="B12" s="9" t="inlineStr">
        <is>
          <t>Email ID *</t>
        </is>
      </c>
      <c r="C12" s="10" t="n"/>
      <c r="D12" s="5" t="inlineStr">
        <is>
          <t>Yes</t>
        </is>
      </c>
      <c r="E12" s="6">
        <f>IF(C12="","MISSING",IF(ISNUMBER(SEARCH("@",C12)),"OK","INVALID EMAIL"))</f>
        <v/>
      </c>
      <c r="F12" s="5" t="inlineStr">
        <is>
          <t>Must contain @.</t>
        </is>
      </c>
    </row>
    <row r="13">
      <c r="A13" s="8" t="inlineStr">
        <is>
          <t>APP.UID</t>
        </is>
      </c>
      <c r="B13" s="9" t="inlineStr">
        <is>
          <t>Aadhaar / prescribed ID *</t>
        </is>
      </c>
      <c r="C13" s="11" t="n"/>
      <c r="D13" s="5" t="inlineStr">
        <is>
          <t>Yes</t>
        </is>
      </c>
      <c r="E13" s="6">
        <f>IF(C13="","MISSING",IF(AND(LEN(TRIM(C13))=12,ISNUMBER(--C13)),"OK","MUST BE 12 DIGIT TEXT"))</f>
        <v/>
      </c>
      <c r="F13" s="5" t="inlineStr">
        <is>
          <t>Enter the 12-digit Aadhaar as text (cell is text-formatted so it will not become 1.23E+11). Do not type spaces or the leading apostrophe.</t>
        </is>
      </c>
    </row>
    <row r="14">
      <c r="A14" s="8" t="inlineStr">
        <is>
          <t>APP.ADDR</t>
        </is>
      </c>
      <c r="B14" s="9" t="inlineStr">
        <is>
          <t>Residential address in West Bengal *</t>
        </is>
      </c>
      <c r="C14" s="10" t="n"/>
      <c r="D14" s="5" t="inlineStr">
        <is>
          <t>Yes</t>
        </is>
      </c>
      <c r="E14" s="6">
        <f>IF(C14="","MISSING","OK")</f>
        <v/>
      </c>
      <c r="F14" s="5" t="inlineStr">
        <is>
          <t>As in a valid Government-issued document.</t>
        </is>
      </c>
    </row>
    <row r="15">
      <c r="A15" s="8" t="inlineStr">
        <is>
          <t>APP.DIST</t>
        </is>
      </c>
      <c r="B15" s="9" t="inlineStr">
        <is>
          <t>District of residence (West Bengal) *</t>
        </is>
      </c>
      <c r="C15" s="10" t="n"/>
      <c r="D15" s="5" t="inlineStr">
        <is>
          <t>Yes</t>
        </is>
      </c>
      <c r="E15" s="6">
        <f>IF(C15="","MISSING","OK")</f>
        <v/>
      </c>
      <c r="F15" s="5" t="inlineStr">
        <is>
          <t>23 districts.</t>
        </is>
      </c>
    </row>
    <row r="16">
      <c r="A16" s="8" t="inlineStr">
        <is>
          <t>APP.PIN</t>
        </is>
      </c>
      <c r="B16" s="9" t="inlineStr">
        <is>
          <t>PIN code *</t>
        </is>
      </c>
      <c r="C16" s="10" t="n"/>
      <c r="D16" s="5" t="inlineStr">
        <is>
          <t>Yes</t>
        </is>
      </c>
      <c r="E16" s="6">
        <f>IF(C16="","MISSING",IF(AND(ISNUMBER(C16),LEN(TEXT(C16,"0"))=6),"OK","MUST BE 6 DIGITS"))</f>
        <v/>
      </c>
      <c r="F16" s="5" t="inlineStr">
        <is>
          <t>Exactly 6 digits.</t>
        </is>
      </c>
    </row>
    <row r="17">
      <c r="A17" s="8" t="inlineStr">
        <is>
          <t>APP.ORPH</t>
        </is>
      </c>
      <c r="B17" s="9" t="inlineStr">
        <is>
          <t>Whether orphan *</t>
        </is>
      </c>
      <c r="C17" s="10" t="n"/>
      <c r="D17" s="5" t="inlineStr">
        <is>
          <t>Yes</t>
        </is>
      </c>
      <c r="E17" s="6">
        <f>IF(C17="","MISSING","OK")</f>
        <v/>
      </c>
      <c r="F17" s="5" t="inlineStr">
        <is>
          <t>If Yes, the scholar may be the elector.</t>
        </is>
      </c>
    </row>
    <row r="19">
      <c r="A19" s="7" t="inlineStr">
        <is>
          <t>B. West Bengal educational eligibility  (Annexure-II-B / Clause 1.1(a))</t>
        </is>
      </c>
    </row>
    <row r="20">
      <c r="A20" s="8" t="inlineStr">
        <is>
          <t>EDU.SCH</t>
        </is>
      </c>
      <c r="B20" s="9" t="inlineStr">
        <is>
          <t>School name (Class X or XII, regular mode, in WB) *</t>
        </is>
      </c>
      <c r="C20" s="10" t="n"/>
      <c r="D20" s="5" t="inlineStr">
        <is>
          <t>Yes</t>
        </is>
      </c>
      <c r="E20" s="6">
        <f>IF(C20="","MISSING","OK")</f>
        <v/>
      </c>
      <c r="F20" s="5" t="inlineStr">
        <is>
          <t>Recognised school in West Bengal.</t>
        </is>
      </c>
    </row>
    <row r="21">
      <c r="A21" s="8" t="inlineStr">
        <is>
          <t>EDU.DIST</t>
        </is>
      </c>
      <c r="B21" s="9" t="inlineStr">
        <is>
          <t>School district *</t>
        </is>
      </c>
      <c r="C21" s="10" t="n"/>
      <c r="D21" s="5" t="inlineStr">
        <is>
          <t>Yes</t>
        </is>
      </c>
      <c r="E21" s="6">
        <f>IF(C21="","MISSING","OK")</f>
        <v/>
      </c>
      <c r="F21" s="5" t="inlineStr">
        <is>
          <t>District of the school.</t>
        </is>
      </c>
    </row>
    <row r="22">
      <c r="A22" s="8" t="inlineStr">
        <is>
          <t>EDU.BRD</t>
        </is>
      </c>
      <c r="B22" s="9" t="inlineStr">
        <is>
          <t>Board / Council *</t>
        </is>
      </c>
      <c r="C22" s="10" t="n"/>
      <c r="D22" s="5" t="inlineStr">
        <is>
          <t>Yes</t>
        </is>
      </c>
      <c r="E22" s="6">
        <f>IF(C22="","MISSING","OK")</f>
        <v/>
      </c>
      <c r="F22" s="5" t="inlineStr">
        <is>
          <t>Controlled list.</t>
        </is>
      </c>
    </row>
    <row r="23">
      <c r="A23" s="8" t="inlineStr">
        <is>
          <t>EDU.X</t>
        </is>
      </c>
      <c r="B23" s="9" t="inlineStr">
        <is>
          <t>Class X — year of passing *</t>
        </is>
      </c>
      <c r="C23" s="10" t="n"/>
      <c r="D23" s="5" t="inlineStr">
        <is>
          <t>Yes</t>
        </is>
      </c>
      <c r="E23" s="6">
        <f>IF(C23="","MISSING",IF(AND(C23&gt;=1995,C23&lt;=YEAR(TODAY())),"OK","CHECK YEAR"))</f>
        <v/>
      </c>
      <c r="F23" s="5" t="inlineStr">
        <is>
          <t>Four-digit year.</t>
        </is>
      </c>
    </row>
    <row r="24">
      <c r="A24" s="8" t="inlineStr">
        <is>
          <t>EDU.XII</t>
        </is>
      </c>
      <c r="B24" s="9" t="inlineStr">
        <is>
          <t>Class XII — year of passing</t>
        </is>
      </c>
      <c r="C24" s="10" t="n"/>
      <c r="D24" s="5" t="inlineStr">
        <is>
          <t>No</t>
        </is>
      </c>
      <c r="E24" s="6">
        <f>IF(C24="","WARNING — blank","OK")</f>
        <v/>
      </c>
      <c r="F24" s="5" t="inlineStr">
        <is>
          <t>Warning if blank.</t>
        </is>
      </c>
    </row>
    <row r="25">
      <c r="A25" s="8" t="inlineStr">
        <is>
          <t>EDU.MODE</t>
        </is>
      </c>
      <c r="B25" s="9" t="inlineStr">
        <is>
          <t>Mode of study *</t>
        </is>
      </c>
      <c r="C25" s="10" t="inlineStr">
        <is>
          <t>Regular</t>
        </is>
      </c>
      <c r="D25" s="5" t="inlineStr">
        <is>
          <t>Yes</t>
        </is>
      </c>
      <c r="E25" s="6">
        <f>IF(C25="Regular","OK","MUST BE Regular")</f>
        <v/>
      </c>
      <c r="F25" s="5" t="inlineStr">
        <is>
          <t>Must be Regular.</t>
        </is>
      </c>
    </row>
    <row r="27">
      <c r="A27" s="7" t="inlineStr">
        <is>
          <t>C. Parent / guardian / elector  (Annexure-II-C / Clause 1.1(b))</t>
        </is>
      </c>
    </row>
    <row r="28">
      <c r="A28" s="8" t="inlineStr">
        <is>
          <t>PAR.NAME</t>
        </is>
      </c>
      <c r="B28" s="9" t="inlineStr">
        <is>
          <t>Parent / guardian name *</t>
        </is>
      </c>
      <c r="C28" s="10" t="n"/>
      <c r="D28" s="5" t="inlineStr">
        <is>
          <t>Yes</t>
        </is>
      </c>
      <c r="E28" s="6">
        <f>IF(C28="","MISSING","OK")</f>
        <v/>
      </c>
      <c r="F28" s="5" t="n"/>
    </row>
    <row r="29">
      <c r="A29" s="8" t="inlineStr">
        <is>
          <t>PAR.REL</t>
        </is>
      </c>
      <c r="B29" s="9" t="inlineStr">
        <is>
          <t>Relationship *</t>
        </is>
      </c>
      <c r="C29" s="10" t="n"/>
      <c r="D29" s="5" t="inlineStr">
        <is>
          <t>Yes</t>
        </is>
      </c>
      <c r="E29" s="6">
        <f>IF(C29="","MISSING","OK")</f>
        <v/>
      </c>
      <c r="F29" s="5" t="inlineStr">
        <is>
          <t>Father / Mother / Legal Guardian / Self (orphan).</t>
        </is>
      </c>
    </row>
    <row r="30">
      <c r="A30" s="8" t="inlineStr">
        <is>
          <t>ELC.NAME</t>
        </is>
      </c>
      <c r="B30" s="9" t="inlineStr">
        <is>
          <t>Elector name *</t>
        </is>
      </c>
      <c r="C30" s="10">
        <f>IF(C17="Yes",C8,IF(C28="","",C28))</f>
        <v/>
      </c>
      <c r="D30" s="5" t="inlineStr">
        <is>
          <t>Yes</t>
        </is>
      </c>
      <c r="E30" s="6">
        <f>IF(C30="","MISSING","OK")</f>
        <v/>
      </c>
      <c r="F30" s="5" t="inlineStr">
        <is>
          <t>Defaults to the scholar if Orphan = Yes, otherwise to the parent/guardian. Overtype if the elector is different.</t>
        </is>
      </c>
    </row>
    <row r="31">
      <c r="A31" s="8" t="inlineStr">
        <is>
          <t>ELC.EPIC</t>
        </is>
      </c>
      <c r="B31" s="9" t="inlineStr">
        <is>
          <t>EPIC / Elector number *</t>
        </is>
      </c>
      <c r="C31" s="10" t="n"/>
      <c r="D31" s="5" t="inlineStr">
        <is>
          <t>Yes</t>
        </is>
      </c>
      <c r="E31" s="6">
        <f>IF(C31="","MISSING","OK")</f>
        <v/>
      </c>
      <c r="F31" s="5" t="n"/>
    </row>
    <row r="32">
      <c r="A32" s="8" t="inlineStr">
        <is>
          <t>ELC.CON</t>
        </is>
      </c>
      <c r="B32" s="9" t="inlineStr">
        <is>
          <t>Constituency / relevant details</t>
        </is>
      </c>
      <c r="C32" s="10" t="n"/>
      <c r="D32" s="5" t="inlineStr">
        <is>
          <t>No</t>
        </is>
      </c>
      <c r="E32" s="6">
        <f>IF(C32="","—","OK")</f>
        <v/>
      </c>
      <c r="F32" s="5" t="n"/>
    </row>
    <row r="34">
      <c r="A34" s="7" t="inlineStr">
        <is>
          <t>D. Admission details  (Annexure-II-D)</t>
        </is>
      </c>
    </row>
    <row r="35">
      <c r="A35" s="8" t="inlineStr">
        <is>
          <t>ADM.COMP</t>
        </is>
      </c>
      <c r="B35" s="9" t="inlineStr">
        <is>
          <t>Component *</t>
        </is>
      </c>
      <c r="C35" s="10" t="n"/>
      <c r="D35" s="5" t="inlineStr">
        <is>
          <t>Yes</t>
        </is>
      </c>
      <c r="E35" s="6">
        <f>IF(C35="","MISSING","OK")</f>
        <v/>
      </c>
      <c r="F35" s="5" t="inlineStr">
        <is>
          <t>International or Domestic.</t>
        </is>
      </c>
    </row>
    <row r="36">
      <c r="A36" s="8" t="inlineStr">
        <is>
          <t>ADM.LVL</t>
        </is>
      </c>
      <c r="B36" s="9" t="inlineStr">
        <is>
          <t>Level *</t>
        </is>
      </c>
      <c r="C36" s="10" t="n"/>
      <c r="D36" s="5" t="inlineStr">
        <is>
          <t>Yes</t>
        </is>
      </c>
      <c r="E36" s="6">
        <f>IF(C36="","MISSING","OK")</f>
        <v/>
      </c>
      <c r="F36" s="5" t="inlineStr">
        <is>
          <t>Undergraduate or Master's.</t>
        </is>
      </c>
    </row>
    <row r="37">
      <c r="A37" s="8" t="inlineStr">
        <is>
          <t>ADM.CTRY</t>
        </is>
      </c>
      <c r="B37" s="9" t="inlineStr">
        <is>
          <t>Country *</t>
        </is>
      </c>
      <c r="C37" s="10" t="n"/>
      <c r="D37" s="5" t="inlineStr">
        <is>
          <t>Yes</t>
        </is>
      </c>
      <c r="E37" s="6">
        <f>IF(C35="","MISSING COMPONENT",IF(C37="","MISSING",IF(AND(C35="Domestic",C37&lt;&gt;"India"),"DOMESTIC MUST BE India",IF(AND(C35="International",C37="India"),"INTL CANNOT BE India","OK"))))</f>
        <v/>
      </c>
      <c r="F37" s="5" t="inlineStr">
        <is>
          <t>Choose country first. Domestic is India only. International list is the QS 2027 freeze (28 Sep 2026). Re-select country if you change Component.</t>
        </is>
      </c>
    </row>
    <row r="38">
      <c r="A38" s="8" t="inlineStr">
        <is>
          <t>ADM.ST</t>
        </is>
      </c>
      <c r="B38" s="9" t="inlineStr">
        <is>
          <t>State / UT * (Domestic filter)</t>
        </is>
      </c>
      <c r="C38" s="10" t="n"/>
      <c r="D38" s="5" t="inlineStr">
        <is>
          <t>Yes if Domestic</t>
        </is>
      </c>
      <c r="E38" s="6">
        <f>IF(C35="","MISSING COMPONENT",IF(C35="Domestic",IF(OR(C38="",C38="Not applicable"),"MISSING FOR DOMESTIC","OK"),"OK"))</f>
        <v/>
      </c>
      <c r="F38" s="5" t="inlineStr">
        <is>
          <t>Domestic: choose the State/UT first — the institution list then contains only campuses in that State/UT. International: choose Not applicable.</t>
        </is>
      </c>
    </row>
    <row r="39">
      <c r="A39" s="8" t="inlineStr">
        <is>
          <t>ADM.INST</t>
        </is>
      </c>
      <c r="B39" s="9" t="inlineStr">
        <is>
          <t>Institution *</t>
        </is>
      </c>
      <c r="C39" s="10" t="n"/>
      <c r="D39" s="5" t="inlineStr">
        <is>
          <t>Yes</t>
        </is>
      </c>
      <c r="E39" s="6">
        <f>IF(C39="","MISSING","OK")</f>
        <v/>
      </c>
      <c r="F39" s="5" t="inlineStr">
        <is>
          <t>Domestic list is filtered by State/UT. International list is filtered by Country. Names are the official legal names from the 28 Sep 2026 freeze. Press F9 after changing Component / Country / State.</t>
        </is>
      </c>
    </row>
    <row r="40">
      <c r="A40" s="8" t="inlineStr">
        <is>
          <t>ADM.PROG</t>
        </is>
      </c>
      <c r="B40" s="9" t="inlineStr">
        <is>
          <t>Programme *</t>
        </is>
      </c>
      <c r="C40" s="10" t="n"/>
      <c r="D40" s="5" t="inlineStr">
        <is>
          <t>Yes</t>
        </is>
      </c>
      <c r="E40" s="6">
        <f>IF(C40="","MISSING","OK")</f>
        <v/>
      </c>
      <c r="F40" s="5" t="inlineStr">
        <is>
          <t>Full-time programme name.</t>
        </is>
      </c>
    </row>
    <row r="41">
      <c r="A41" s="8" t="inlineStr">
        <is>
          <t>ADM.REG</t>
        </is>
      </c>
      <c r="B41" s="9" t="inlineStr">
        <is>
          <t>Admission Portal ID / CAS ID / Registration No. *</t>
        </is>
      </c>
      <c r="C41" s="10" t="n"/>
      <c r="D41" s="5" t="inlineStr">
        <is>
          <t>Yes</t>
        </is>
      </c>
      <c r="E41" s="6">
        <f>IF(C41="","MISSING","OK")</f>
        <v/>
      </c>
      <c r="F41" s="5" t="n"/>
    </row>
    <row r="42">
      <c r="A42" s="8" t="inlineStr">
        <is>
          <t>ADM.DT</t>
        </is>
      </c>
      <c r="B42" s="9" t="inlineStr">
        <is>
          <t>Date of admission *</t>
        </is>
      </c>
      <c r="C42" s="20" t="n"/>
      <c r="D42" s="5" t="inlineStr">
        <is>
          <t>Yes</t>
        </is>
      </c>
      <c r="E42" s="6">
        <f>IF(C42="","MISSING",IF(C42&gt;=99_Lookups!S2,"OK","PRE-2026-27 ADMISSION"))</f>
        <v/>
      </c>
      <c r="F42" s="5" t="inlineStr">
        <is>
          <t>On or after 01-Apr-2026. Ranking frozen on this date.</t>
        </is>
      </c>
    </row>
    <row r="43">
      <c r="A43" s="8" t="inlineStr">
        <is>
          <t>ADM.DUR</t>
        </is>
      </c>
      <c r="B43" s="9" t="inlineStr">
        <is>
          <t>Programme duration (number) *</t>
        </is>
      </c>
      <c r="C43" s="10" t="n"/>
      <c r="D43" s="5" t="inlineStr">
        <is>
          <t>Yes</t>
        </is>
      </c>
      <c r="E43" s="6">
        <f>IF(C43="","MISSING",IF(AND(ISNUMBER(C43),C43&gt;0),"OK","INVALID"))</f>
        <v/>
      </c>
      <c r="F43" s="5" t="inlineStr">
        <is>
          <t>Example: 4</t>
        </is>
      </c>
    </row>
    <row r="44">
      <c r="A44" s="8" t="inlineStr">
        <is>
          <t>ADM.DUNIT</t>
        </is>
      </c>
      <c r="B44" s="9" t="inlineStr">
        <is>
          <t>Duration unit *</t>
        </is>
      </c>
      <c r="C44" s="10" t="inlineStr">
        <is>
          <t>Years</t>
        </is>
      </c>
      <c r="D44" s="5" t="inlineStr">
        <is>
          <t>Yes</t>
        </is>
      </c>
      <c r="E44" s="6">
        <f>IF(C44="","MISSING","OK")</f>
        <v/>
      </c>
      <c r="F44" s="5" t="inlineStr">
        <is>
          <t>Years or Months.</t>
        </is>
      </c>
    </row>
    <row r="45">
      <c r="A45" s="8" t="inlineStr">
        <is>
          <t>ADM.INTK</t>
        </is>
      </c>
      <c r="B45" s="9" t="inlineStr">
        <is>
          <t>Academic intake / cycle *</t>
        </is>
      </c>
      <c r="C45" s="10" t="n"/>
      <c r="D45" s="5" t="inlineStr">
        <is>
          <t>Yes</t>
        </is>
      </c>
      <c r="E45" s="6">
        <f>IF(C45="","MISSING","OK")</f>
        <v/>
      </c>
      <c r="F45" s="5" t="n"/>
    </row>
    <row r="46">
      <c r="A46" s="8" t="inlineStr">
        <is>
          <t>ADM.FT</t>
        </is>
      </c>
      <c r="B46" s="9" t="inlineStr">
        <is>
          <t>Full-time programme *</t>
        </is>
      </c>
      <c r="C46" s="10" t="inlineStr">
        <is>
          <t>Yes</t>
        </is>
      </c>
      <c r="D46" s="5" t="inlineStr">
        <is>
          <t>Yes</t>
        </is>
      </c>
      <c r="E46" s="6">
        <f>IF(C46="Yes","OK",IF(C46="","MISSING","NOT FULL-TIME"))</f>
        <v/>
      </c>
      <c r="F46" s="5" t="inlineStr">
        <is>
          <t>Defaults to Yes. The Scheme funds only full-time regular programmes — change only if you must record an ineligible mode.</t>
        </is>
      </c>
    </row>
    <row r="47">
      <c r="A47" s="8" t="inlineStr">
        <is>
          <t>ADM.RES</t>
        </is>
      </c>
      <c r="B47" s="9" t="inlineStr">
        <is>
          <t>Residential programme *</t>
        </is>
      </c>
      <c r="C47" s="10">
        <f>IF(C35="International","Yes","")</f>
        <v/>
      </c>
      <c r="D47" s="5" t="inlineStr">
        <is>
          <t>Yes</t>
        </is>
      </c>
      <c r="E47" s="6">
        <f>IF(AND(C35="International",C47&lt;&gt;"Yes"),"INTL MUST BE RESIDENTIAL",IF(C47="","MISSING","OK"))</f>
        <v/>
      </c>
      <c r="F47" s="5" t="inlineStr">
        <is>
          <t>International is auto-set to Yes (residential required). Domestic: choose Yes or No.</t>
        </is>
      </c>
    </row>
    <row r="49">
      <c r="A49" s="7" t="inlineStr">
        <is>
          <t>E. Institutional eligibility  (Annexure-II-E / Clauses 3, 3.1, 7)  — category / rank / year looked up from the register</t>
        </is>
      </c>
    </row>
    <row r="50">
      <c r="A50" s="8" t="inlineStr">
        <is>
          <t>ELG.CAT</t>
        </is>
      </c>
      <c r="B50" s="9" t="inlineStr">
        <is>
          <t>Applicable institutional eligibility category (auto)</t>
        </is>
      </c>
      <c r="C50" s="14">
        <f>IF(C39="","",IFERROR(INDEX('98_Institutions'!$E$2:$E$400,MATCH($C$37&amp;"|"&amp;$C$39,'98_Institutions'!$L$2:$L$400,0)),"NOT IN REGISTER"))</f>
        <v/>
      </c>
      <c r="D50" s="5" t="inlineStr">
        <is>
          <t>Auto</t>
        </is>
      </c>
      <c r="E50" s="6">
        <f>IF(C39="","MISSING",IF(C50="NOT IN REGISTER","INSTITUTION NOT IN REGISTER",IF(AND(C35="International",C50&lt;&gt;"QS Top 100"),"INTL REQUIRES QS TOP 100",IF(AND(C35="Domestic",C50="QS Top 100"),"DOMESTIC CANNOT USE QS CLAUSE","OK"))))</f>
        <v/>
      </c>
      <c r="F50" s="5" t="inlineStr">
        <is>
          <t>Looked up from PRIMARY_CATEGORY on the frozen register. Do not type.</t>
        </is>
      </c>
    </row>
    <row r="51">
      <c r="A51" s="5" t="inlineStr">
        <is>
          <t>ELG.STAT</t>
        </is>
      </c>
      <c r="B51" s="5" t="inlineStr">
        <is>
          <t>Ranking / status (auto-composed)</t>
        </is>
      </c>
      <c r="C51" s="6">
        <f>IF(C50="","",IF(C50="INI","Institution of National Importance (statutory INI)",IF(C50="Public IoE","Public Institution of Eminence",IF(C50="QS Top 100","QS World University Rankings Overall"&amp;IF(C52="",""," rank "&amp;C52)&amp;IF(C53="",""," ("&amp;C53&amp;")"),IF(C50="NIRF Top 50","NIRF Overall"&amp;IF(C52="",""," rank "&amp;C52)&amp;IF(C53="",""," ("&amp;C53&amp;")"),C50)))))</f>
        <v/>
      </c>
      <c r="D51" s="5" t="inlineStr">
        <is>
          <t>Auto</t>
        </is>
      </c>
      <c r="E51" s="6">
        <f>IF(C50="","MISSING",IF(C51="","MISSING","OK"))</f>
        <v/>
      </c>
      <c r="F51" s="5" t="inlineStr">
        <is>
          <t>Composed from category + Overall rank + year. Not an input. INI / Public IoE do not need a rank number.</t>
        </is>
      </c>
    </row>
    <row r="52">
      <c r="A52" s="8" t="inlineStr">
        <is>
          <t>ELG.RNK</t>
        </is>
      </c>
      <c r="B52" s="9" t="inlineStr">
        <is>
          <t>Overall rank number (auto — QS / NIRF)</t>
        </is>
      </c>
      <c r="C52" s="14">
        <f>IF(C39="","",IFERROR(INDEX('98_Institutions'!$F$2:$F$400,MATCH($C$37&amp;"|"&amp;$C$39,'98_Institutions'!$L$2:$L$400,0)),""))</f>
        <v/>
      </c>
      <c r="D52" s="5" t="inlineStr">
        <is>
          <t>Auto</t>
        </is>
      </c>
      <c r="E52" s="6">
        <f>IF(OR(C50="QS Top 100",C50="NIRF Top 50"),IF(C52="","MISSING RANK",IF(AND(C50="QS Top 100",OR(C52&lt;1,C52&gt;100)),"QS RANK NOT IN 1–100",IF(AND(C50="NIRF Top 50",OR(C52&lt;1,C52&gt;50)),"NIRF RANK NOT IN 1–50","OK"))),"OK")</f>
        <v/>
      </c>
      <c r="F52" s="5" t="inlineStr">
        <is>
          <t>QS 2027 Overall or NIRF 2025 Overall from the register. Blank when the institution is INI / Public IoE with no Overall rank.</t>
        </is>
      </c>
    </row>
    <row r="53">
      <c r="A53" s="8" t="inlineStr">
        <is>
          <t>ELG.YR</t>
        </is>
      </c>
      <c r="B53" s="9" t="inlineStr">
        <is>
          <t>Ranking / status year (auto)</t>
        </is>
      </c>
      <c r="C53" s="14">
        <f>IF(C39="","",IFERROR(INDEX('98_Institutions'!$G$2:$G$400,MATCH($C$37&amp;"|"&amp;$C$39,'98_Institutions'!$L$2:$L$400,0)),""))</f>
        <v/>
      </c>
      <c r="D53" s="5" t="inlineStr">
        <is>
          <t>Auto</t>
        </is>
      </c>
      <c r="E53" s="6">
        <f>IF(C39="","MISSING",IF(C53="","MISSING","OK"))</f>
        <v/>
      </c>
      <c r="F53" s="5" t="inlineStr">
        <is>
          <t>2027 for QS WUR 2027; 2025 for NIRF Overall 2025; 2025 placeholder year for statutory INI / IoE.</t>
        </is>
      </c>
    </row>
    <row r="54">
      <c r="A54" s="8" t="inlineStr">
        <is>
          <t>ELG.PVT</t>
        </is>
      </c>
      <c r="B54" s="9" t="inlineStr">
        <is>
          <t>Is the institution a private domestic institution? (auto)</t>
        </is>
      </c>
      <c r="C54" s="14">
        <f>IF(C39="","",IFERROR(INDEX('98_Institutions'!$H$2:$H$400,MATCH($C$37&amp;"|"&amp;$C$39,'98_Institutions'!$L$2:$L$400,0)),""))</f>
        <v/>
      </c>
      <c r="D54" s="5" t="inlineStr">
        <is>
          <t>Auto</t>
        </is>
      </c>
      <c r="E54" s="6">
        <f>IF(C54="","MISSING",IF(AND(C35="Domestic",C54="Yes"),"PRIVATE DOMESTIC EXCLUDED","OK"))</f>
        <v/>
      </c>
      <c r="F54" s="5" t="inlineStr">
        <is>
          <t>Register contains only government / statutory names, so this is No. A Yes would exclude the scholar.</t>
        </is>
      </c>
    </row>
    <row r="56">
      <c r="A56" s="7" t="inlineStr">
        <is>
          <t>F. Fee, other assistance and preferred payment mode  (Annexure-II-F)</t>
        </is>
      </c>
    </row>
    <row r="57">
      <c r="A57" s="8" t="inlineStr">
        <is>
          <t>FEE.MODE</t>
        </is>
      </c>
      <c r="B57" s="9" t="inlineStr">
        <is>
          <t>Preferred mode of payment (preference only) *</t>
        </is>
      </c>
      <c r="C57" s="10" t="n"/>
      <c r="D57" s="5" t="inlineStr">
        <is>
          <t>Yes</t>
        </is>
      </c>
      <c r="E57" s="6">
        <f>IF(C57="","MISSING","OK")</f>
        <v/>
      </c>
      <c r="F57" s="5" t="inlineStr">
        <is>
          <t>Final mode rests with the Competent Authority.</t>
        </is>
      </c>
    </row>
    <row r="58">
      <c r="A58" s="8" t="inlineStr">
        <is>
          <t>FEE.TUIT</t>
        </is>
      </c>
      <c r="B58" s="9" t="inlineStr">
        <is>
          <t>Approved tuition fee — relevant period *</t>
        </is>
      </c>
      <c r="C58" s="10" t="n"/>
      <c r="D58" s="5" t="inlineStr">
        <is>
          <t>Yes</t>
        </is>
      </c>
      <c r="E58" s="6">
        <f>IF(C58="","MISSING",IF(N(C58)&gt;0,"OK","MUST BE &gt; 0"))</f>
        <v/>
      </c>
      <c r="F58" s="5" t="inlineStr">
        <is>
          <t>Exclude hostel, mess, deposit, travel, books, optional fees.</t>
        </is>
      </c>
    </row>
    <row r="59">
      <c r="A59" s="8" t="inlineStr">
        <is>
          <t>FEE.TCUR</t>
        </is>
      </c>
      <c r="B59" s="9" t="inlineStr">
        <is>
          <t>Tuition currency *</t>
        </is>
      </c>
      <c r="C59" s="10" t="inlineStr">
        <is>
          <t>INR</t>
        </is>
      </c>
      <c r="D59" s="5" t="inlineStr">
        <is>
          <t>Yes</t>
        </is>
      </c>
      <c r="E59" s="6">
        <f>IF(C59="","MISSING","OK")</f>
        <v/>
      </c>
      <c r="F59" s="5" t="inlineStr">
        <is>
          <t>Defaults to INR. Change only for an International tuition currency.</t>
        </is>
      </c>
    </row>
    <row r="60">
      <c r="A60" s="8" t="inlineStr">
        <is>
          <t>FEE.HI</t>
        </is>
      </c>
      <c r="B60" s="9" t="inlineStr">
        <is>
          <t>Mandatory health insurance (International)</t>
        </is>
      </c>
      <c r="C60" s="10" t="n">
        <v>0</v>
      </c>
      <c r="D60" s="5" t="inlineStr">
        <is>
          <t>No</t>
        </is>
      </c>
      <c r="E60" s="6">
        <f>IF(AND(C35="Domestic",N(C60)&gt;0),"HI NOT ADMISSIBLE (DOMESTIC)",IF(AND(C35="International",C60=""),"WARNING — HI BLANK","OK"))</f>
        <v/>
      </c>
      <c r="F60" s="5" t="inlineStr">
        <is>
          <t>Defaults to 0. Domestic cannot claim health insurance. International: enter the mandatory HI amount.</t>
        </is>
      </c>
    </row>
    <row r="61">
      <c r="A61" s="8" t="inlineStr">
        <is>
          <t>FEE.HCUR</t>
        </is>
      </c>
      <c r="B61" s="9" t="inlineStr">
        <is>
          <t>Health-insurance currency</t>
        </is>
      </c>
      <c r="C61" s="10" t="inlineStr">
        <is>
          <t>INR</t>
        </is>
      </c>
      <c r="D61" s="5" t="inlineStr">
        <is>
          <t>No</t>
        </is>
      </c>
      <c r="E61" s="6">
        <f>IF(N(C60)&gt;0,IF(C61="","MISSING CURRENCY","OK"),"OK")</f>
        <v/>
      </c>
      <c r="F61" s="5" t="n"/>
    </row>
    <row r="62">
      <c r="A62" s="8" t="inlineStr">
        <is>
          <t>FEE.OTH</t>
        </is>
      </c>
      <c r="B62" s="9" t="inlineStr">
        <is>
          <t>Any other scholarship / assistance / fee waiver for the same course? *</t>
        </is>
      </c>
      <c r="C62" s="10" t="n"/>
      <c r="D62" s="5" t="inlineStr">
        <is>
          <t>Yes</t>
        </is>
      </c>
      <c r="E62" s="6">
        <f>IF(C62="","MISSING","OK")</f>
        <v/>
      </c>
      <c r="F62" s="5" t="n"/>
    </row>
    <row r="63">
      <c r="A63" s="8" t="inlineStr">
        <is>
          <t>FEE.OSRC</t>
        </is>
      </c>
      <c r="B63" s="9" t="inlineStr">
        <is>
          <t>Source / particulars of other assistance</t>
        </is>
      </c>
      <c r="C63" s="10" t="n"/>
      <c r="D63" s="5" t="inlineStr">
        <is>
          <t>No</t>
        </is>
      </c>
      <c r="E63" s="6">
        <f>IF(AND(C62="Yes",C63=""),"MISSING SOURCE","OK")</f>
        <v/>
      </c>
      <c r="F63" s="5" t="n"/>
    </row>
    <row r="64">
      <c r="A64" s="8" t="inlineStr">
        <is>
          <t>FEE.OAMT</t>
        </is>
      </c>
      <c r="B64" s="9" t="inlineStr">
        <is>
          <t>Amount of other assistance</t>
        </is>
      </c>
      <c r="C64" s="10" t="n">
        <v>0</v>
      </c>
      <c r="D64" s="5" t="inlineStr">
        <is>
          <t>No</t>
        </is>
      </c>
      <c r="E64" s="6">
        <f>IF(AND(C62="Yes",N(C64)&lt;=0),"MISSING AMOUNT",IF(AND(C62="No",N(C64)&gt;0),"CONTRADICTS 'No'","OK"))</f>
        <v/>
      </c>
      <c r="F64" s="5" t="inlineStr">
        <is>
          <t>Adjusted under Clauses 1.1(c) and 6.3(a).</t>
        </is>
      </c>
    </row>
    <row r="66">
      <c r="A66" s="7" t="inlineStr">
        <is>
          <t>G. Bank details for DBT  (mandatory if preferred mode is DBT reimbursement)</t>
        </is>
      </c>
    </row>
    <row r="67">
      <c r="A67" s="8" t="inlineStr">
        <is>
          <t>BNK.NM</t>
        </is>
      </c>
      <c r="B67" s="9" t="inlineStr">
        <is>
          <t>Account holder name</t>
        </is>
      </c>
      <c r="C67" s="10" t="n"/>
      <c r="D67" s="5" t="inlineStr">
        <is>
          <t>No</t>
        </is>
      </c>
      <c r="E67" s="6">
        <f>IF(C57="DBT reimbursement",IF(C67="","MISSING FOR DBT","OK"),"NA")</f>
        <v/>
      </c>
      <c r="F67" s="5" t="inlineStr">
        <is>
          <t>Should match scholar name.</t>
        </is>
      </c>
    </row>
    <row r="68">
      <c r="A68" s="8" t="inlineStr">
        <is>
          <t>BNK.BK</t>
        </is>
      </c>
      <c r="B68" s="9" t="inlineStr">
        <is>
          <t>Bank name</t>
        </is>
      </c>
      <c r="C68" s="10" t="n"/>
      <c r="D68" s="5" t="inlineStr">
        <is>
          <t>No</t>
        </is>
      </c>
      <c r="E68" s="6">
        <f>IF(C57="DBT reimbursement",IF(C68="","MISSING FOR DBT","OK"),"NA")</f>
        <v/>
      </c>
      <c r="F68" s="5" t="n"/>
    </row>
    <row r="69">
      <c r="A69" s="8" t="inlineStr">
        <is>
          <t>BNK.BR</t>
        </is>
      </c>
      <c r="B69" s="9" t="inlineStr">
        <is>
          <t>Branch</t>
        </is>
      </c>
      <c r="C69" s="10" t="n"/>
      <c r="D69" s="5" t="inlineStr">
        <is>
          <t>No</t>
        </is>
      </c>
      <c r="E69" s="6">
        <f>IF(C57="DBT reimbursement",IF(C69="","MISSING FOR DBT","OK"),"NA")</f>
        <v/>
      </c>
      <c r="F69" s="5" t="n"/>
    </row>
    <row r="70">
      <c r="A70" s="8" t="inlineStr">
        <is>
          <t>BNK.AC</t>
        </is>
      </c>
      <c r="B70" s="9" t="inlineStr">
        <is>
          <t>Account number</t>
        </is>
      </c>
      <c r="C70" s="11" t="n"/>
      <c r="D70" s="5" t="inlineStr">
        <is>
          <t>No</t>
        </is>
      </c>
      <c r="E70" s="6">
        <f>IF(C57="DBT reimbursement",IF(C70="","MISSING FOR DBT","OK"),"NA")</f>
        <v/>
      </c>
      <c r="F70" s="5" t="n"/>
    </row>
    <row r="71">
      <c r="A71" s="8" t="inlineStr">
        <is>
          <t>BNK.IFSC</t>
        </is>
      </c>
      <c r="B71" s="9" t="inlineStr">
        <is>
          <t>IFSC</t>
        </is>
      </c>
      <c r="C71" s="10" t="n"/>
      <c r="D71" s="5" t="inlineStr">
        <is>
          <t>No</t>
        </is>
      </c>
      <c r="E71" s="6">
        <f>IF(C57="DBT reimbursement",IF(C71="","MISSING FOR DBT",IF(AND(LEN(C71)=11,MID(C71,5,1)="0"),"OK","IFSC MUST BE 11 CHARS WITH 0 IN 5TH")),"NA")</f>
        <v/>
      </c>
      <c r="F71" s="5" t="inlineStr">
        <is>
          <t>11 characters, 5th character 0.</t>
        </is>
      </c>
    </row>
    <row r="73">
      <c r="A73" s="7" t="inlineStr">
        <is>
          <t>H. Other scheme benefits  (Annexure-II-I / Clauses 1.1(f)–(h))</t>
        </is>
      </c>
    </row>
    <row r="74">
      <c r="A74" s="8" t="inlineStr">
        <is>
          <t>SCH.SVMS</t>
        </is>
      </c>
      <c r="B74" s="9" t="inlineStr">
        <is>
          <t>Previously received financial assistance under SVMS? *</t>
        </is>
      </c>
      <c r="C74" s="10" t="n"/>
      <c r="D74" s="5" t="inlineStr">
        <is>
          <t>Yes</t>
        </is>
      </c>
      <c r="E74" s="6">
        <f>IF(C74="","MISSING",IF(C74="Yes","INELIGIBLE — PRIOR SVMS","OK"))</f>
        <v/>
      </c>
      <c r="F74" s="5" t="inlineStr">
        <is>
          <t>Must be No.</t>
        </is>
      </c>
    </row>
    <row r="75">
      <c r="A75" s="8" t="inlineStr">
        <is>
          <t>SCH.BNUB</t>
        </is>
      </c>
      <c r="B75" s="9" t="inlineStr">
        <is>
          <t>Previously received Bhagini Nivedita Uchchashiksha Britti? *</t>
        </is>
      </c>
      <c r="C75" s="10" t="n"/>
      <c r="D75" s="5" t="inlineStr">
        <is>
          <t>Yes</t>
        </is>
      </c>
      <c r="E75" s="6">
        <f>IF(C75="","MISSING",IF(AND(C75="Yes",C36="Undergraduate"),"INELIGIBLE — UG DUAL BENEFIT","OK"))</f>
        <v/>
      </c>
      <c r="F75" s="5" t="inlineStr">
        <is>
          <t>Yes + Undergraduate = ineligible.</t>
        </is>
      </c>
    </row>
    <row r="76">
      <c r="A76" s="8" t="inlineStr">
        <is>
          <t>SCH.DET</t>
        </is>
      </c>
      <c r="B76" s="9" t="inlineStr">
        <is>
          <t>Particulars of previous SVMS / BNUB</t>
        </is>
      </c>
      <c r="C76" s="10" t="n"/>
      <c r="D76" s="5" t="inlineStr">
        <is>
          <t>No</t>
        </is>
      </c>
      <c r="E76" s="6">
        <f>IF(OR(C74="Yes",C75="Yes"),IF(C76="","MISSING PARTICULARS","OK"),"OK")</f>
        <v/>
      </c>
      <c r="F76" s="5" t="inlineStr">
        <is>
          <t>Required if either answer is Yes.</t>
        </is>
      </c>
    </row>
    <row r="78">
      <c r="A78" s="7" t="inlineStr">
        <is>
          <t>I. Applicant declarations  (Annexure-II-J) — all three must be Yes</t>
        </is>
      </c>
    </row>
    <row r="79">
      <c r="A79" s="8" t="inlineStr">
        <is>
          <t>DEC.TRUE</t>
        </is>
      </c>
      <c r="B79" s="9" t="inlineStr">
        <is>
          <t>I certify the information is true and I shall comply with the Guidelines *</t>
        </is>
      </c>
      <c r="C79" s="10" t="n"/>
      <c r="D79" s="5" t="inlineStr">
        <is>
          <t>Yes</t>
        </is>
      </c>
      <c r="E79" s="6">
        <f>IF(C79="Yes","OK",IF(C79="","MISSING","MUST BE Yes"))</f>
        <v/>
      </c>
      <c r="F79" s="5" t="n"/>
    </row>
    <row r="80">
      <c r="A80" s="8" t="inlineStr">
        <is>
          <t>DEC.ONCE</t>
        </is>
      </c>
      <c r="B80" s="9" t="inlineStr">
        <is>
          <t>I have not previously received SVMS (once-in-a-lifetime) *</t>
        </is>
      </c>
      <c r="C80" s="10" t="n"/>
      <c r="D80" s="5" t="inlineStr">
        <is>
          <t>Yes</t>
        </is>
      </c>
      <c r="E80" s="6">
        <f>IF(C80="Yes","OK",IF(C80="","MISSING","MUST BE Yes"))</f>
        <v/>
      </c>
      <c r="F80" s="5" t="n"/>
    </row>
    <row r="81">
      <c r="A81" s="8" t="inlineStr">
        <is>
          <t>DEC.UG</t>
        </is>
      </c>
      <c r="B81" s="9" t="inlineStr">
        <is>
          <t>UG dual-benefit declaration (not seeking both SVMS and BNUB for UG) *</t>
        </is>
      </c>
      <c r="C81" s="10" t="n"/>
      <c r="D81" s="5" t="inlineStr">
        <is>
          <t>Yes</t>
        </is>
      </c>
      <c r="E81" s="6">
        <f>IF(C81="Yes","OK",IF(C81="","MISSING","MUST BE Yes"))</f>
        <v/>
      </c>
      <c r="F81" s="5" t="inlineStr">
        <is>
          <t>Select Yes also for Master's.</t>
        </is>
      </c>
    </row>
    <row r="82">
      <c r="A82" s="8" t="inlineStr">
        <is>
          <t>DEC.PLC</t>
        </is>
      </c>
      <c r="B82" s="9" t="inlineStr">
        <is>
          <t>Place of signing *</t>
        </is>
      </c>
      <c r="C82" s="10" t="n"/>
      <c r="D82" s="5" t="inlineStr">
        <is>
          <t>Yes</t>
        </is>
      </c>
      <c r="E82" s="6">
        <f>IF(C82="","MISSING","OK")</f>
        <v/>
      </c>
      <c r="F82" s="5" t="n"/>
    </row>
    <row r="83">
      <c r="A83" s="8" t="inlineStr">
        <is>
          <t>DEC.DT</t>
        </is>
      </c>
      <c r="B83" s="9" t="inlineStr">
        <is>
          <t>Date of signing Annexure-II *</t>
        </is>
      </c>
      <c r="C83" s="20" t="n"/>
      <c r="D83" s="5" t="inlineStr">
        <is>
          <t>Yes</t>
        </is>
      </c>
      <c r="E83" s="6">
        <f>IF(C83="","MISSING",IF(ISNUMBER(C83),"OK","INVALID DATE"))</f>
        <v/>
      </c>
      <c r="F83" s="5" t="n"/>
    </row>
    <row r="85">
      <c r="A85" s="7" t="inlineStr">
        <is>
          <t>J. System-computed fields  (do not type)</t>
        </is>
      </c>
    </row>
    <row r="86">
      <c r="A86" s="5" t="inlineStr">
        <is>
          <t>SYS.BAND</t>
        </is>
      </c>
      <c r="B86" s="5" t="inlineStr">
        <is>
          <t>Computed support band</t>
        </is>
      </c>
      <c r="C86" s="6">
        <f>IF(OR(C35="",C50=""),"",IF(C35="International",IF(AND(C50="QS Top 100",ISNUMBER(C52),C52&gt;=1,C52&lt;=100),"100%","Not eligible"),IF(OR(C50="INI",C50="Public IoE"),"100%",IF(AND(C50="NIRF Top 50",ISNUMBER(C52),C52&gt;=1,C52&lt;=10),"100%",IF(AND(C50="NIRF Top 50",ISNUMBER(C52),C52&gt;=11,C52&lt;=25),"90%",IF(AND(C50="NIRF Top 50",ISNUMBER(C52),C52&gt;=26,C52&lt;=50),"75%","Not eligible"))))))</f>
        <v/>
      </c>
      <c r="D86" s="5" t="inlineStr">
        <is>
          <t>—</t>
        </is>
      </c>
      <c r="E86" s="5" t="inlineStr">
        <is>
          <t>System</t>
        </is>
      </c>
      <c r="F86" s="5" t="inlineStr">
        <is>
          <t>Derived from Clauses 3, 3.1, 7 and 1.1.</t>
        </is>
      </c>
    </row>
    <row r="87">
      <c r="A87" s="5" t="inlineStr">
        <is>
          <t>SYS.RATE</t>
        </is>
      </c>
      <c r="B87" s="5" t="inlineStr">
        <is>
          <t>Computed support rate</t>
        </is>
      </c>
      <c r="C87" s="6">
        <f>IF(C86="100%",1,IF(C86="90%",0.9,IF(C86="75%",0.75,0)))</f>
        <v/>
      </c>
      <c r="D87" s="5" t="inlineStr">
        <is>
          <t>—</t>
        </is>
      </c>
      <c r="E87" s="5" t="inlineStr">
        <is>
          <t>System</t>
        </is>
      </c>
      <c r="F87" s="5" t="inlineStr">
        <is>
          <t>Derived from Clauses 3, 3.1, 7 and 1.1.</t>
        </is>
      </c>
    </row>
    <row r="88">
      <c r="A88" s="5" t="inlineStr">
        <is>
          <t>SYS.GROSS</t>
        </is>
      </c>
      <c r="B88" s="5" t="inlineStr">
        <is>
          <t>Gross support before other-assistance</t>
        </is>
      </c>
      <c r="C88" s="6">
        <f>IF(C35="International",(N(C58)+N(C60))*C87,N(C58)*C87)</f>
        <v/>
      </c>
      <c r="D88" s="5" t="inlineStr">
        <is>
          <t>—</t>
        </is>
      </c>
      <c r="E88" s="5" t="inlineStr">
        <is>
          <t>System</t>
        </is>
      </c>
      <c r="F88" s="5" t="inlineStr">
        <is>
          <t>Derived from Clauses 3, 3.1, 7 and 1.1.</t>
        </is>
      </c>
    </row>
    <row r="89">
      <c r="A89" s="5" t="inlineStr">
        <is>
          <t>SYS.NET</t>
        </is>
      </c>
      <c r="B89" s="5" t="inlineStr">
        <is>
          <t>Net admissible (gross − other assistance, floor 0)</t>
        </is>
      </c>
      <c r="C89" s="6">
        <f>MAX(0,C88-N(C64))</f>
        <v/>
      </c>
      <c r="D89" s="5" t="inlineStr">
        <is>
          <t>—</t>
        </is>
      </c>
      <c r="E89" s="5" t="inlineStr">
        <is>
          <t>System</t>
        </is>
      </c>
      <c r="F89" s="5" t="inlineStr">
        <is>
          <t>Derived from Clauses 3, 3.1, 7 and 1.1.</t>
        </is>
      </c>
    </row>
    <row r="90">
      <c r="A90" s="5" t="inlineStr">
        <is>
          <t>SYS.AYOK</t>
        </is>
      </c>
      <c r="B90" s="5" t="inlineStr">
        <is>
          <t>Admission on/after 01-Apr-2026?</t>
        </is>
      </c>
      <c r="C90" s="6">
        <f>IF(C42="","",IF(C42&gt;=99_Lookups!S2,"Yes","No"))</f>
        <v/>
      </c>
      <c r="D90" s="5" t="inlineStr">
        <is>
          <t>—</t>
        </is>
      </c>
      <c r="E90" s="5" t="inlineStr">
        <is>
          <t>System</t>
        </is>
      </c>
      <c r="F90" s="5" t="inlineStr">
        <is>
          <t>Derived from Clauses 3, 3.1, 7 and 1.1.</t>
        </is>
      </c>
    </row>
    <row r="91">
      <c r="A91" s="5" t="inlineStr">
        <is>
          <t>SYS.COMPOK</t>
        </is>
      </c>
      <c r="B91" s="5" t="inlineStr">
        <is>
          <t>Component vs country consistent?</t>
        </is>
      </c>
      <c r="C91" s="6">
        <f>IF(OR(C35="",C37=""),"",IF(AND(C35="International",UPPER(TRIM(C37))&lt;&gt;"INDIA"),"Yes",IF(AND(C35="Domestic",UPPER(TRIM(C37))="INDIA"),"Yes","No")))</f>
        <v/>
      </c>
      <c r="D91" s="5" t="inlineStr">
        <is>
          <t>—</t>
        </is>
      </c>
      <c r="E91" s="5" t="inlineStr">
        <is>
          <t>System</t>
        </is>
      </c>
      <c r="F91" s="5" t="inlineStr">
        <is>
          <t>Derived from Clauses 3, 3.1, 7 and 1.1.</t>
        </is>
      </c>
    </row>
    <row r="92">
      <c r="A92" s="5" t="inlineStr">
        <is>
          <t>SYS.LIFE</t>
        </is>
      </c>
      <c r="B92" s="5" t="inlineStr">
        <is>
          <t>Lifetime / dual-UG rule result</t>
        </is>
      </c>
      <c r="C92" s="6">
        <f>IF(C74="Yes","FAIL — prior SVMS",IF(AND(C36="Undergraduate",C75="Yes"),"FAIL — BNUB already availed for UG","PASS"))</f>
        <v/>
      </c>
      <c r="D92" s="5" t="inlineStr">
        <is>
          <t>—</t>
        </is>
      </c>
      <c r="E92" s="5" t="inlineStr">
        <is>
          <t>System</t>
        </is>
      </c>
      <c r="F92" s="5" t="inlineStr">
        <is>
          <t>Derived from Clauses 3, 3.1, 7 and 1.1.</t>
        </is>
      </c>
    </row>
    <row r="93">
      <c r="A93" s="5" t="inlineStr">
        <is>
          <t>SYS.END</t>
        </is>
      </c>
      <c r="B93" s="5" t="inlineStr">
        <is>
          <t>Indicative original-timeline end date</t>
        </is>
      </c>
      <c r="C93" s="6">
        <f>IF(OR(C42="",C43=""),"",IF(C44="Months",EDATE(C42,C43),DATE(YEAR(C42)+C43,MONTH(C42),DAY(C42))))</f>
        <v/>
      </c>
      <c r="D93" s="5" t="inlineStr">
        <is>
          <t>—</t>
        </is>
      </c>
      <c r="E93" s="5" t="inlineStr">
        <is>
          <t>System</t>
        </is>
      </c>
      <c r="F93" s="5" t="inlineStr">
        <is>
          <t>Derived from Clauses 3, 3.1, 7 and 1.1.</t>
        </is>
      </c>
    </row>
    <row r="95">
      <c r="A95" s="5" t="inlineStr">
        <is>
          <t>Domestic path: Component → Country (India) → State/UT → Institution. International path: Component → Country → Institution. Category, rank and year are looked up. Tuition is Approved Tuition Fee (cl. 2A(a)). Support is frozen on the date of admission.</t>
        </is>
      </c>
    </row>
    <row r="96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5">
    <mergeCell ref="A56:H56"/>
    <mergeCell ref="A4:H4"/>
    <mergeCell ref="A3:H3"/>
    <mergeCell ref="A78:H78"/>
    <mergeCell ref="A73:H73"/>
    <mergeCell ref="A2:H2"/>
    <mergeCell ref="A95:H96"/>
    <mergeCell ref="A85:H85"/>
    <mergeCell ref="A19:H19"/>
    <mergeCell ref="A49:H49"/>
    <mergeCell ref="A66:H66"/>
    <mergeCell ref="A1:H1"/>
    <mergeCell ref="A27:H27"/>
    <mergeCell ref="A6:H6"/>
    <mergeCell ref="A34:H34"/>
  </mergeCells>
  <dataValidations count="25">
    <dataValidation sqref="C10" showDropDown="0" showInputMessage="0" showErrorMessage="1" allowBlank="1" errorTitle="Invalid entry" error="Select a value from the list." type="list">
      <formula1>L_Gen</formula1>
    </dataValidation>
    <dataValidation sqref="C15" showDropDown="0" showInputMessage="0" showErrorMessage="1" allowBlank="1" errorTitle="Invalid entry" error="Select a value from the list." type="list">
      <formula1>L_District</formula1>
    </dataValidation>
    <dataValidation sqref="C21" showDropDown="0" showInputMessage="0" showErrorMessage="1" allowBlank="1" errorTitle="Invalid entry" error="Select a value from the list." type="list">
      <formula1>L_District</formula1>
    </dataValidation>
    <dataValidation sqref="C22" showDropDown="0" showInputMessage="0" showErrorMessage="1" allowBlank="1" errorTitle="Invalid entry" error="Select a value from the list." type="list">
      <formula1>L_Board</formula1>
    </dataValidation>
    <dataValidation sqref="C25" showDropDown="0" showInputMessage="0" showErrorMessage="1" allowBlank="1" errorTitle="Invalid entry" error="Select a value from the list." type="list">
      <formula1>L_Mode</formula1>
    </dataValidation>
    <dataValidation sqref="C29" showDropDown="0" showInputMessage="0" showErrorMessage="1" allowBlank="1" errorTitle="Invalid entry" error="Select a value from the list." type="list">
      <formula1>L_Rel</formula1>
    </dataValidation>
    <dataValidation sqref="C17" showDropDown="0" showInputMessage="0" showErrorMessage="1" allowBlank="1" errorTitle="Invalid entry" error="Select a value from the list." type="list">
      <formula1>L_YN</formula1>
    </dataValidation>
    <dataValidation sqref="C35" showDropDown="0" showInputMessage="0" showErrorMessage="1" allowBlank="1" errorTitle="Invalid entry" error="Select a value from the list." type="list">
      <formula1>L_Comp</formula1>
    </dataValidation>
    <dataValidation sqref="C36" showDropDown="0" showInputMessage="0" showErrorMessage="1" allowBlank="1" errorTitle="Invalid entry" error="Select a value from the list." type="list">
      <formula1>L_Level</formula1>
    </dataValidation>
    <dataValidation sqref="C46" showDropDown="0" showInputMessage="0" showErrorMessage="1" allowBlank="1" errorTitle="Invalid entry" error="Select a value from the list." type="list">
      <formula1>L_YN</formula1>
    </dataValidation>
    <dataValidation sqref="C47" showDropDown="0" showInputMessage="0" showErrorMessage="1" allowBlank="1" errorTitle="Invalid entry" error="Select a value from the list." type="list">
      <formula1>L_YN</formula1>
    </dataValidation>
    <dataValidation sqref="C57" showDropDown="0" showInputMessage="0" showErrorMessage="1" allowBlank="1" errorTitle="Invalid entry" error="Select a value from the list." type="list">
      <formula1>L_Pay</formula1>
    </dataValidation>
    <dataValidation sqref="C59" showDropDown="0" showInputMessage="0" showErrorMessage="1" allowBlank="1" errorTitle="Invalid entry" error="Select a value from the list." type="list">
      <formula1>L_Cur</formula1>
    </dataValidation>
    <dataValidation sqref="C61" showDropDown="0" showInputMessage="0" showErrorMessage="1" allowBlank="1" errorTitle="Invalid entry" error="Select a value from the list." type="list">
      <formula1>L_Cur</formula1>
    </dataValidation>
    <dataValidation sqref="C62" showDropDown="0" showInputMessage="0" showErrorMessage="1" allowBlank="1" errorTitle="Invalid entry" error="Select a value from the list." type="list">
      <formula1>L_YN</formula1>
    </dataValidation>
    <dataValidation sqref="C74" showDropDown="0" showInputMessage="0" showErrorMessage="1" allowBlank="1" errorTitle="Invalid entry" error="Select a value from the list." type="list">
      <formula1>L_YN</formula1>
    </dataValidation>
    <dataValidation sqref="C75" showDropDown="0" showInputMessage="0" showErrorMessage="1" allowBlank="1" errorTitle="Invalid entry" error="Select a value from the list." type="list">
      <formula1>L_YN</formula1>
    </dataValidation>
    <dataValidation sqref="C79" showDropDown="0" showInputMessage="0" showErrorMessage="1" allowBlank="1" errorTitle="Invalid entry" error="Select a value from the list." type="list">
      <formula1>L_YN</formula1>
    </dataValidation>
    <dataValidation sqref="C80" showDropDown="0" showInputMessage="0" showErrorMessage="1" allowBlank="1" errorTitle="Invalid entry" error="Select a value from the list." type="list">
      <formula1>L_YN</formula1>
    </dataValidation>
    <dataValidation sqref="C81" showDropDown="0" showInputMessage="0" showErrorMessage="1" allowBlank="1" errorTitle="Invalid entry" error="Select a value from the list." type="list">
      <formula1>L_YN</formula1>
    </dataValidation>
    <dataValidation sqref="C45" showDropDown="0" showInputMessage="0" showErrorMessage="1" allowBlank="1" errorTitle="Invalid entry" error="Select a value from the list." type="list">
      <formula1>L_Intake</formula1>
    </dataValidation>
    <dataValidation sqref="C44" showDropDown="0" showInputMessage="0" showErrorMessage="1" allowBlank="1" errorTitle="Invalid entry" error="Select a value from the list." type="list">
      <formula1>"Years,Months"</formula1>
    </dataValidation>
    <dataValidation sqref="C37" showDropDown="0" showInputMessage="0" showErrorMessage="0" allowBlank="1" errorTitle="Country" error="Select a country for the chosen component." type="list">
      <formula1>INDIRECT(IF($C$35="Domestic","L_Ctry_DOM","L_Ctry_INT"))</formula1>
    </dataValidation>
    <dataValidation sqref="C38" showDropDown="0" showInputMessage="0" showErrorMessage="0" allowBlank="1" errorTitle="State / UT" error="Domestic: pick a State/UT. International: pick Not applicable." type="list">
      <formula1>INDIRECT(IF($C$35="Domestic","L_States_DOM","L_NA"))</formula1>
    </dataValidation>
    <dataValidation sqref="C39" showDropDown="0" showInputMessage="0" showErrorMessage="0" allowBlank="1" errorTitle="Institution" error="Select an eligible institution for the State (Domestic) or Country (International) already chosen." type="list">
      <formula1>IF($C$35="Domestic",INDIRECT("ST_"&amp;SUBSTITUTE(SUBSTITUTE($C$38," ","_"),"&amp;","and")),INDIRECT("INST_"&amp;SUBSTITUTE(SUBSTITUTE($C$37," ","_"),",","")))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4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42" customWidth="1" min="3" max="3"/>
    <col width="28" customWidth="1" min="4" max="4"/>
    <col width="16" customWidth="1" min="5" max="5"/>
    <col width="18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ANNEXURE-II  •  ONLINE APPLICATION FORM  (PRINT IMAGE)</t>
        </is>
      </c>
    </row>
    <row r="4">
      <c r="A4" s="4" t="inlineStr">
        <is>
          <t>Values linked to 02_MasterData  |  Correct mistakes on Master, not here</t>
        </is>
      </c>
    </row>
    <row r="5">
      <c r="A5" s="5" t="inlineStr">
        <is>
          <t>Sec</t>
        </is>
      </c>
      <c r="B5" s="5" t="inlineStr">
        <is>
          <t>Field as in Annexure-II</t>
        </is>
      </c>
      <c r="C5" s="5" t="inlineStr">
        <is>
          <t>Value (from Master)</t>
        </is>
      </c>
      <c r="D5" s="5" t="inlineStr">
        <is>
          <t>Office remark</t>
        </is>
      </c>
      <c r="E5" s="5" t="inlineStr">
        <is>
          <t>Link</t>
        </is>
      </c>
    </row>
    <row r="6">
      <c r="A6" s="5" t="inlineStr">
        <is>
          <t>A. Applicant details</t>
        </is>
      </c>
    </row>
    <row r="7">
      <c r="A7" s="5" t="inlineStr">
        <is>
          <t>A</t>
        </is>
      </c>
      <c r="B7" s="5" t="inlineStr">
        <is>
          <t>Application ID</t>
        </is>
      </c>
      <c r="C7" s="6">
        <f>NM_ID</f>
        <v/>
      </c>
      <c r="D7" s="5" t="n"/>
      <c r="E7" s="6">
        <f>IF(C7="","BLANK","LINKED")</f>
        <v/>
      </c>
    </row>
    <row r="8">
      <c r="A8" s="5" t="inlineStr">
        <is>
          <t>A</t>
        </is>
      </c>
      <c r="B8" s="5" t="inlineStr">
        <is>
          <t>Name of Applicant *</t>
        </is>
      </c>
      <c r="C8" s="6">
        <f>NM_NAME</f>
        <v/>
      </c>
      <c r="D8" s="5" t="n"/>
      <c r="E8" s="6">
        <f>IF(C8="","BLANK","LINKED")</f>
        <v/>
      </c>
    </row>
    <row r="9">
      <c r="A9" s="5" t="inlineStr">
        <is>
          <t>A</t>
        </is>
      </c>
      <c r="B9" s="5" t="inlineStr">
        <is>
          <t>Date of Birth *</t>
        </is>
      </c>
      <c r="C9" s="19">
        <f>NM_DOB</f>
        <v/>
      </c>
      <c r="D9" s="5" t="n"/>
      <c r="E9" s="6">
        <f>IF(C9="","BLANK","LINKED")</f>
        <v/>
      </c>
    </row>
    <row r="10">
      <c r="A10" s="5" t="inlineStr">
        <is>
          <t>A</t>
        </is>
      </c>
      <c r="B10" s="5" t="inlineStr">
        <is>
          <t>Mobile No. *</t>
        </is>
      </c>
      <c r="C10" s="6">
        <f>NM_MOB</f>
        <v/>
      </c>
      <c r="D10" s="5" t="n"/>
      <c r="E10" s="6">
        <f>IF(C10="","BLANK","LINKED")</f>
        <v/>
      </c>
    </row>
    <row r="11">
      <c r="A11" s="5" t="inlineStr">
        <is>
          <t>A</t>
        </is>
      </c>
      <c r="B11" s="5" t="inlineStr">
        <is>
          <t>Email ID *</t>
        </is>
      </c>
      <c r="C11" s="6">
        <f>NM_MAIL</f>
        <v/>
      </c>
      <c r="D11" s="5" t="n"/>
      <c r="E11" s="6">
        <f>IF(C11="","BLANK","LINKED")</f>
        <v/>
      </c>
    </row>
    <row r="12">
      <c r="A12" s="5" t="inlineStr">
        <is>
          <t>A</t>
        </is>
      </c>
      <c r="B12" s="5" t="inlineStr">
        <is>
          <t>Aadhaar / prescribed ID *</t>
        </is>
      </c>
      <c r="C12" s="12">
        <f>NM_UID</f>
        <v/>
      </c>
      <c r="D12" s="5" t="n"/>
      <c r="E12" s="6">
        <f>IF(C12="","BLANK","LINKED")</f>
        <v/>
      </c>
    </row>
    <row r="13">
      <c r="A13" s="5" t="inlineStr">
        <is>
          <t>A</t>
        </is>
      </c>
      <c r="B13" s="5" t="inlineStr">
        <is>
          <t>Residential Address in West Bengal *</t>
        </is>
      </c>
      <c r="C13" s="6">
        <f>NM_ADDR</f>
        <v/>
      </c>
      <c r="D13" s="5" t="n"/>
      <c r="E13" s="6">
        <f>IF(C13="","BLANK","LINKED")</f>
        <v/>
      </c>
    </row>
    <row r="14">
      <c r="A14" s="5" t="inlineStr">
        <is>
          <t>A</t>
        </is>
      </c>
      <c r="B14" s="5" t="inlineStr">
        <is>
          <t>District *</t>
        </is>
      </c>
      <c r="C14" s="6">
        <f>NM_DIST</f>
        <v/>
      </c>
      <c r="D14" s="5" t="n"/>
      <c r="E14" s="6">
        <f>IF(C14="","BLANK","LINKED")</f>
        <v/>
      </c>
    </row>
    <row r="15">
      <c r="A15" s="5" t="inlineStr">
        <is>
          <t>A</t>
        </is>
      </c>
      <c r="B15" s="5" t="inlineStr">
        <is>
          <t>PIN *</t>
        </is>
      </c>
      <c r="C15" s="6">
        <f>NM_PIN</f>
        <v/>
      </c>
      <c r="D15" s="5" t="n"/>
      <c r="E15" s="6">
        <f>IF(C15="","BLANK","LINKED")</f>
        <v/>
      </c>
    </row>
    <row r="16">
      <c r="A16" s="5" t="inlineStr">
        <is>
          <t>A</t>
        </is>
      </c>
      <c r="B16" s="5" t="inlineStr">
        <is>
          <t>Whether orphan *</t>
        </is>
      </c>
      <c r="C16" s="6">
        <f>NM_ORPH</f>
        <v/>
      </c>
      <c r="D16" s="5" t="n"/>
      <c r="E16" s="6">
        <f>IF(C16="","BLANK","LINKED")</f>
        <v/>
      </c>
    </row>
    <row r="18">
      <c r="A18" s="5" t="inlineStr">
        <is>
          <t>B. West Bengal educational eligibility</t>
        </is>
      </c>
    </row>
    <row r="19">
      <c r="A19" s="5" t="inlineStr">
        <is>
          <t>B</t>
        </is>
      </c>
      <c r="B19" s="5" t="inlineStr">
        <is>
          <t>School Name *</t>
        </is>
      </c>
      <c r="C19" s="6">
        <f>NM_SCH</f>
        <v/>
      </c>
      <c r="D19" s="5" t="n"/>
      <c r="E19" s="6">
        <f>IF(C19="","BLANK","LINKED")</f>
        <v/>
      </c>
    </row>
    <row r="20">
      <c r="A20" s="5" t="inlineStr">
        <is>
          <t>B</t>
        </is>
      </c>
      <c r="B20" s="5" t="inlineStr">
        <is>
          <t>School District *</t>
        </is>
      </c>
      <c r="C20" s="6">
        <f>NM_SCHDIST</f>
        <v/>
      </c>
      <c r="D20" s="5" t="n"/>
      <c r="E20" s="6">
        <f>IF(C20="","BLANK","LINKED")</f>
        <v/>
      </c>
    </row>
    <row r="21">
      <c r="A21" s="5" t="inlineStr">
        <is>
          <t>B</t>
        </is>
      </c>
      <c r="B21" s="5" t="inlineStr">
        <is>
          <t>Board / Council *</t>
        </is>
      </c>
      <c r="C21" s="6">
        <f>NM_BRD</f>
        <v/>
      </c>
      <c r="D21" s="5" t="n"/>
      <c r="E21" s="6">
        <f>IF(C21="","BLANK","LINKED")</f>
        <v/>
      </c>
    </row>
    <row r="22">
      <c r="A22" s="5" t="inlineStr">
        <is>
          <t>B</t>
        </is>
      </c>
      <c r="B22" s="5" t="inlineStr">
        <is>
          <t>Class X: Year of Passing *</t>
        </is>
      </c>
      <c r="C22" s="6">
        <f>NM_X</f>
        <v/>
      </c>
      <c r="D22" s="5" t="n"/>
      <c r="E22" s="6">
        <f>IF(C22="","BLANK","LINKED")</f>
        <v/>
      </c>
    </row>
    <row r="23">
      <c r="A23" s="5" t="inlineStr">
        <is>
          <t>B</t>
        </is>
      </c>
      <c r="B23" s="5" t="inlineStr">
        <is>
          <t>Class XII: Year of Passing</t>
        </is>
      </c>
      <c r="C23" s="6">
        <f>NM_XII</f>
        <v/>
      </c>
      <c r="D23" s="5" t="n"/>
      <c r="E23" s="6">
        <f>IF(C23="","BLANK","LINKED")</f>
        <v/>
      </c>
    </row>
    <row r="24">
      <c r="A24" s="5" t="inlineStr">
        <is>
          <t>B</t>
        </is>
      </c>
      <c r="B24" s="5" t="inlineStr">
        <is>
          <t>Mode of Study *</t>
        </is>
      </c>
      <c r="C24" s="6">
        <f>NM_MODE</f>
        <v/>
      </c>
      <c r="D24" s="5" t="n"/>
      <c r="E24" s="6">
        <f>IF(C24="","BLANK","LINKED")</f>
        <v/>
      </c>
    </row>
    <row r="26">
      <c r="A26" s="5" t="inlineStr">
        <is>
          <t>C. Parent / guardian / elector details</t>
        </is>
      </c>
    </row>
    <row r="27">
      <c r="A27" s="5" t="inlineStr">
        <is>
          <t>C</t>
        </is>
      </c>
      <c r="B27" s="5" t="inlineStr">
        <is>
          <t>Parent / Guardian Name *</t>
        </is>
      </c>
      <c r="C27" s="6">
        <f>NM_PAR</f>
        <v/>
      </c>
      <c r="D27" s="5" t="n"/>
      <c r="E27" s="6">
        <f>IF(C27="","BLANK","LINKED")</f>
        <v/>
      </c>
    </row>
    <row r="28">
      <c r="A28" s="5" t="inlineStr">
        <is>
          <t>C</t>
        </is>
      </c>
      <c r="B28" s="5" t="inlineStr">
        <is>
          <t>Relationship *</t>
        </is>
      </c>
      <c r="C28" s="6">
        <f>NM_REL</f>
        <v/>
      </c>
      <c r="D28" s="5" t="n"/>
      <c r="E28" s="6">
        <f>IF(C28="","BLANK","LINKED")</f>
        <v/>
      </c>
    </row>
    <row r="29">
      <c r="A29" s="5" t="inlineStr">
        <is>
          <t>C</t>
        </is>
      </c>
      <c r="B29" s="5" t="inlineStr">
        <is>
          <t>Elector Name *</t>
        </is>
      </c>
      <c r="C29" s="6">
        <f>NM_ELC</f>
        <v/>
      </c>
      <c r="D29" s="5" t="n"/>
      <c r="E29" s="6">
        <f>IF(C29="","BLANK","LINKED")</f>
        <v/>
      </c>
    </row>
    <row r="30">
      <c r="A30" s="5" t="inlineStr">
        <is>
          <t>C</t>
        </is>
      </c>
      <c r="B30" s="5" t="inlineStr">
        <is>
          <t>EPIC / Elector No. *</t>
        </is>
      </c>
      <c r="C30" s="6">
        <f>NM_EPIC</f>
        <v/>
      </c>
      <c r="D30" s="5" t="n"/>
      <c r="E30" s="6">
        <f>IF(C30="","BLANK","LINKED")</f>
        <v/>
      </c>
    </row>
    <row r="31">
      <c r="A31" s="5" t="inlineStr">
        <is>
          <t>C</t>
        </is>
      </c>
      <c r="B31" s="5" t="inlineStr">
        <is>
          <t>Constituency / relevant details</t>
        </is>
      </c>
      <c r="C31" s="6">
        <f>NM_CON</f>
        <v/>
      </c>
      <c r="D31" s="5" t="n"/>
      <c r="E31" s="6">
        <f>IF(C31="","BLANK","LINKED")</f>
        <v/>
      </c>
    </row>
    <row r="33">
      <c r="A33" s="5" t="inlineStr">
        <is>
          <t>D. Admission details</t>
        </is>
      </c>
    </row>
    <row r="34">
      <c r="A34" s="5" t="inlineStr">
        <is>
          <t>D</t>
        </is>
      </c>
      <c r="B34" s="5" t="inlineStr">
        <is>
          <t>Component *</t>
        </is>
      </c>
      <c r="C34" s="6">
        <f>NM_COMP</f>
        <v/>
      </c>
      <c r="D34" s="5" t="n"/>
      <c r="E34" s="6">
        <f>IF(C34="","BLANK","LINKED")</f>
        <v/>
      </c>
    </row>
    <row r="35">
      <c r="A35" s="5" t="inlineStr">
        <is>
          <t>D</t>
        </is>
      </c>
      <c r="B35" s="5" t="inlineStr">
        <is>
          <t>Level *</t>
        </is>
      </c>
      <c r="C35" s="6">
        <f>NM_LVL</f>
        <v/>
      </c>
      <c r="D35" s="5" t="n"/>
      <c r="E35" s="6">
        <f>IF(C35="","BLANK","LINKED")</f>
        <v/>
      </c>
    </row>
    <row r="36">
      <c r="A36" s="5" t="inlineStr">
        <is>
          <t>D</t>
        </is>
      </c>
      <c r="B36" s="5" t="inlineStr">
        <is>
          <t>Country / State *</t>
        </is>
      </c>
      <c r="C36" s="6">
        <f>NM_CTRY&amp;IF(NM_ST="",""," / "&amp;NM_ST)</f>
        <v/>
      </c>
      <c r="D36" s="5" t="n"/>
      <c r="E36" s="6">
        <f>IF(C36="","BLANK","LINKED")</f>
        <v/>
      </c>
    </row>
    <row r="37">
      <c r="A37" s="5" t="inlineStr">
        <is>
          <t>D</t>
        </is>
      </c>
      <c r="B37" s="5" t="inlineStr">
        <is>
          <t>Institution *</t>
        </is>
      </c>
      <c r="C37" s="6">
        <f>NM_INST</f>
        <v/>
      </c>
      <c r="D37" s="5" t="n"/>
      <c r="E37" s="6">
        <f>IF(C37="","BLANK","LINKED")</f>
        <v/>
      </c>
    </row>
    <row r="38">
      <c r="A38" s="5" t="inlineStr">
        <is>
          <t>D</t>
        </is>
      </c>
      <c r="B38" s="5" t="inlineStr">
        <is>
          <t>Programme *</t>
        </is>
      </c>
      <c r="C38" s="6">
        <f>NM_PROG</f>
        <v/>
      </c>
      <c r="D38" s="5" t="n"/>
      <c r="E38" s="6">
        <f>IF(C38="","BLANK","LINKED")</f>
        <v/>
      </c>
    </row>
    <row r="39">
      <c r="A39" s="5" t="inlineStr">
        <is>
          <t>D</t>
        </is>
      </c>
      <c r="B39" s="5" t="inlineStr">
        <is>
          <t>Admission Portal ID / CAS ID / Registration No. *</t>
        </is>
      </c>
      <c r="C39" s="6">
        <f>NM_REG</f>
        <v/>
      </c>
      <c r="D39" s="5" t="n"/>
      <c r="E39" s="6">
        <f>IF(C39="","BLANK","LINKED")</f>
        <v/>
      </c>
    </row>
    <row r="40">
      <c r="A40" s="5" t="inlineStr">
        <is>
          <t>D</t>
        </is>
      </c>
      <c r="B40" s="5" t="inlineStr">
        <is>
          <t>Date of Admission *</t>
        </is>
      </c>
      <c r="C40" s="19">
        <f>NM_ADT</f>
        <v/>
      </c>
      <c r="D40" s="5" t="n"/>
      <c r="E40" s="6">
        <f>IF(C40="","BLANK","LINKED")</f>
        <v/>
      </c>
    </row>
    <row r="41">
      <c r="A41" s="5" t="inlineStr">
        <is>
          <t>D</t>
        </is>
      </c>
      <c r="B41" s="5" t="inlineStr">
        <is>
          <t>Programme Duration *</t>
        </is>
      </c>
      <c r="C41" s="6">
        <f>NM_DUR&amp;" "&amp;NM_DUNIT</f>
        <v/>
      </c>
      <c r="D41" s="5" t="n"/>
      <c r="E41" s="6">
        <f>IF(C41="","BLANK","LINKED")</f>
        <v/>
      </c>
    </row>
    <row r="42">
      <c r="A42" s="5" t="inlineStr">
        <is>
          <t>D</t>
        </is>
      </c>
      <c r="B42" s="5" t="inlineStr">
        <is>
          <t>Academic Intake / Cycle *</t>
        </is>
      </c>
      <c r="C42" s="6">
        <f>NM_INTK</f>
        <v/>
      </c>
      <c r="D42" s="5" t="n"/>
      <c r="E42" s="6">
        <f>IF(C42="","BLANK","LINKED")</f>
        <v/>
      </c>
    </row>
    <row r="43">
      <c r="A43" s="5" t="inlineStr">
        <is>
          <t>D</t>
        </is>
      </c>
      <c r="B43" s="5" t="inlineStr">
        <is>
          <t>Full-time *</t>
        </is>
      </c>
      <c r="C43" s="6">
        <f>NM_FT</f>
        <v/>
      </c>
      <c r="D43" s="5" t="n"/>
      <c r="E43" s="6">
        <f>IF(C43="","BLANK","LINKED")</f>
        <v/>
      </c>
    </row>
    <row r="44">
      <c r="A44" s="5" t="inlineStr">
        <is>
          <t>D</t>
        </is>
      </c>
      <c r="B44" s="5" t="inlineStr">
        <is>
          <t>Residential programme *</t>
        </is>
      </c>
      <c r="C44" s="6">
        <f>NM_RES</f>
        <v/>
      </c>
      <c r="D44" s="5" t="n"/>
      <c r="E44" s="6">
        <f>IF(C44="","BLANK","LINKED")</f>
        <v/>
      </c>
    </row>
    <row r="46">
      <c r="A46" s="5" t="inlineStr">
        <is>
          <t>E. Institutional eligibility</t>
        </is>
      </c>
    </row>
    <row r="47">
      <c r="A47" s="5" t="inlineStr">
        <is>
          <t>E</t>
        </is>
      </c>
      <c r="B47" s="5" t="inlineStr">
        <is>
          <t>Applicable institutional eligibility category</t>
        </is>
      </c>
      <c r="C47" s="6">
        <f>NM_CAT</f>
        <v/>
      </c>
      <c r="D47" s="5" t="n"/>
      <c r="E47" s="6">
        <f>IF(C47="","BLANK","LINKED")</f>
        <v/>
      </c>
    </row>
    <row r="48">
      <c r="A48" s="5" t="inlineStr">
        <is>
          <t>E</t>
        </is>
      </c>
      <c r="B48" s="5" t="inlineStr">
        <is>
          <t>Ranking / status (auto-composed)</t>
        </is>
      </c>
      <c r="C48" s="6">
        <f>NM_STAT</f>
        <v/>
      </c>
      <c r="D48" s="5" t="n"/>
      <c r="E48" s="6">
        <f>IF(C48="","BLANK","LINKED")</f>
        <v/>
      </c>
    </row>
    <row r="49">
      <c r="A49" s="5" t="inlineStr">
        <is>
          <t>E</t>
        </is>
      </c>
      <c r="B49" s="5" t="inlineStr">
        <is>
          <t>Overall rank number (QS / NIRF)</t>
        </is>
      </c>
      <c r="C49" s="6">
        <f>NM_RNK</f>
        <v/>
      </c>
      <c r="D49" s="5" t="n"/>
      <c r="E49" s="6">
        <f>IF(C49="","BLANK","LINKED")</f>
        <v/>
      </c>
    </row>
    <row r="50">
      <c r="A50" s="5" t="inlineStr">
        <is>
          <t>E</t>
        </is>
      </c>
      <c r="B50" s="5" t="inlineStr">
        <is>
          <t>Ranking / status year</t>
        </is>
      </c>
      <c r="C50" s="6">
        <f>NM_RYR</f>
        <v/>
      </c>
      <c r="D50" s="5" t="n"/>
      <c r="E50" s="6">
        <f>IF(C50="","BLANK","LINKED")</f>
        <v/>
      </c>
    </row>
    <row r="51">
      <c r="A51" s="5" t="inlineStr">
        <is>
          <t>E</t>
        </is>
      </c>
      <c r="B51" s="5" t="inlineStr">
        <is>
          <t>Computed support band</t>
        </is>
      </c>
      <c r="C51" s="6">
        <f>NM_BAND</f>
        <v/>
      </c>
      <c r="D51" s="5" t="n"/>
      <c r="E51" s="6">
        <f>IF(C51="","BLANK","LINKED")</f>
        <v/>
      </c>
    </row>
    <row r="52">
      <c r="A52" s="5" t="inlineStr">
        <is>
          <t>E</t>
        </is>
      </c>
      <c r="B52" s="5" t="inlineStr">
        <is>
          <t>Private domestic institution?</t>
        </is>
      </c>
      <c r="C52" s="6">
        <f>NM_PVT</f>
        <v/>
      </c>
      <c r="D52" s="5" t="n"/>
      <c r="E52" s="6">
        <f>IF(C52="","BLANK","LINKED")</f>
        <v/>
      </c>
    </row>
    <row r="54">
      <c r="A54" s="5" t="inlineStr">
        <is>
          <t>F. Fee and other assistance</t>
        </is>
      </c>
    </row>
    <row r="55">
      <c r="A55" s="5" t="inlineStr">
        <is>
          <t>F</t>
        </is>
      </c>
      <c r="B55" s="5" t="inlineStr">
        <is>
          <t>Preferred Mode of Payment *</t>
        </is>
      </c>
      <c r="C55" s="6">
        <f>NM_PAY</f>
        <v/>
      </c>
      <c r="D55" s="5" t="n"/>
      <c r="E55" s="6">
        <f>IF(C55="","BLANK","LINKED")</f>
        <v/>
      </c>
    </row>
    <row r="56">
      <c r="A56" s="5" t="inlineStr">
        <is>
          <t>F</t>
        </is>
      </c>
      <c r="B56" s="5" t="inlineStr">
        <is>
          <t>Approved tuition fee — relevant period *</t>
        </is>
      </c>
      <c r="C56" s="6">
        <f>NM_TUIT</f>
        <v/>
      </c>
      <c r="D56" s="5" t="n"/>
      <c r="E56" s="6">
        <f>IF(C56="","BLANK","LINKED")</f>
        <v/>
      </c>
    </row>
    <row r="57">
      <c r="A57" s="5" t="inlineStr">
        <is>
          <t>F</t>
        </is>
      </c>
      <c r="B57" s="5" t="inlineStr">
        <is>
          <t>Tuition currency</t>
        </is>
      </c>
      <c r="C57" s="6">
        <f>NM_TCUR</f>
        <v/>
      </c>
      <c r="D57" s="5" t="n"/>
      <c r="E57" s="6">
        <f>IF(C57="","BLANK","LINKED")</f>
        <v/>
      </c>
    </row>
    <row r="58">
      <c r="A58" s="5" t="inlineStr">
        <is>
          <t>F</t>
        </is>
      </c>
      <c r="B58" s="5" t="inlineStr">
        <is>
          <t>Mandatory health insurance — International</t>
        </is>
      </c>
      <c r="C58" s="6">
        <f>NM_HI</f>
        <v/>
      </c>
      <c r="D58" s="5" t="n"/>
      <c r="E58" s="6">
        <f>IF(C58="","BLANK","LINKED")</f>
        <v/>
      </c>
    </row>
    <row r="59">
      <c r="A59" s="5" t="inlineStr">
        <is>
          <t>F</t>
        </is>
      </c>
      <c r="B59" s="5" t="inlineStr">
        <is>
          <t>Other scholarship / assistance / fee waiver *</t>
        </is>
      </c>
      <c r="C59" s="6">
        <f>NM_OTH</f>
        <v/>
      </c>
      <c r="D59" s="5" t="n"/>
      <c r="E59" s="6">
        <f>IF(C59="","BLANK","LINKED")</f>
        <v/>
      </c>
    </row>
    <row r="60">
      <c r="A60" s="5" t="inlineStr">
        <is>
          <t>F</t>
        </is>
      </c>
      <c r="B60" s="5" t="inlineStr">
        <is>
          <t>Source of other assistance</t>
        </is>
      </c>
      <c r="C60" s="6">
        <f>NM_OSRC</f>
        <v/>
      </c>
      <c r="D60" s="5" t="n"/>
      <c r="E60" s="6">
        <f>IF(C60="","BLANK","LINKED")</f>
        <v/>
      </c>
    </row>
    <row r="61">
      <c r="A61" s="5" t="inlineStr">
        <is>
          <t>F</t>
        </is>
      </c>
      <c r="B61" s="5" t="inlineStr">
        <is>
          <t>Amount of other assistance</t>
        </is>
      </c>
      <c r="C61" s="6">
        <f>NM_OAMT</f>
        <v/>
      </c>
      <c r="D61" s="5" t="n"/>
      <c r="E61" s="6">
        <f>IF(C61="","BLANK","LINKED")</f>
        <v/>
      </c>
    </row>
    <row r="62">
      <c r="A62" s="5" t="inlineStr">
        <is>
          <t>F</t>
        </is>
      </c>
      <c r="B62" s="5" t="inlineStr">
        <is>
          <t>Computed net admissible (this period)</t>
        </is>
      </c>
      <c r="C62" s="6">
        <f>NM_NET</f>
        <v/>
      </c>
      <c r="D62" s="5" t="n"/>
      <c r="E62" s="6">
        <f>IF(C62="","BLANK","LINKED")</f>
        <v/>
      </c>
    </row>
    <row r="64">
      <c r="A64" s="5" t="inlineStr">
        <is>
          <t>G. Bank details for DBT</t>
        </is>
      </c>
    </row>
    <row r="65">
      <c r="A65" s="5" t="inlineStr">
        <is>
          <t>G</t>
        </is>
      </c>
      <c r="B65" s="5" t="inlineStr">
        <is>
          <t>Account Holder Name</t>
        </is>
      </c>
      <c r="C65" s="6">
        <f>NM_AH</f>
        <v/>
      </c>
      <c r="D65" s="5" t="n"/>
      <c r="E65" s="6">
        <f>IF(C65="","BLANK","LINKED")</f>
        <v/>
      </c>
    </row>
    <row r="66">
      <c r="A66" s="5" t="inlineStr">
        <is>
          <t>G</t>
        </is>
      </c>
      <c r="B66" s="5" t="inlineStr">
        <is>
          <t>Bank</t>
        </is>
      </c>
      <c r="C66" s="6">
        <f>NM_BANK</f>
        <v/>
      </c>
      <c r="D66" s="5" t="n"/>
      <c r="E66" s="6">
        <f>IF(C66="","BLANK","LINKED")</f>
        <v/>
      </c>
    </row>
    <row r="67">
      <c r="A67" s="5" t="inlineStr">
        <is>
          <t>G</t>
        </is>
      </c>
      <c r="B67" s="5" t="inlineStr">
        <is>
          <t>Branch</t>
        </is>
      </c>
      <c r="C67" s="6">
        <f>NM_BRN</f>
        <v/>
      </c>
      <c r="D67" s="5" t="n"/>
      <c r="E67" s="6">
        <f>IF(C67="","BLANK","LINKED")</f>
        <v/>
      </c>
    </row>
    <row r="68">
      <c r="A68" s="5" t="inlineStr">
        <is>
          <t>G</t>
        </is>
      </c>
      <c r="B68" s="5" t="inlineStr">
        <is>
          <t>Account No.</t>
        </is>
      </c>
      <c r="C68" s="6">
        <f>NM_AC</f>
        <v/>
      </c>
      <c r="D68" s="5" t="n"/>
      <c r="E68" s="6">
        <f>IF(C68="","BLANK","LINKED")</f>
        <v/>
      </c>
    </row>
    <row r="69">
      <c r="A69" s="5" t="inlineStr">
        <is>
          <t>G</t>
        </is>
      </c>
      <c r="B69" s="5" t="inlineStr">
        <is>
          <t>IFSC</t>
        </is>
      </c>
      <c r="C69" s="6">
        <f>NM_IFSC</f>
        <v/>
      </c>
      <c r="D69" s="5" t="n"/>
      <c r="E69" s="6">
        <f>IF(C69="","BLANK","LINKED")</f>
        <v/>
      </c>
    </row>
    <row r="71">
      <c r="A71" s="5" t="inlineStr">
        <is>
          <t>I. Other scheme benefits</t>
        </is>
      </c>
    </row>
    <row r="72">
      <c r="A72" s="5" t="inlineStr">
        <is>
          <t>I</t>
        </is>
      </c>
      <c r="B72" s="5" t="inlineStr">
        <is>
          <t>Previously received SVMS? *</t>
        </is>
      </c>
      <c r="C72" s="6">
        <f>NM_SVMS</f>
        <v/>
      </c>
      <c r="D72" s="5" t="n"/>
      <c r="E72" s="6">
        <f>IF(C72="","BLANK","LINKED")</f>
        <v/>
      </c>
    </row>
    <row r="73">
      <c r="A73" s="5" t="inlineStr">
        <is>
          <t>I</t>
        </is>
      </c>
      <c r="B73" s="5" t="inlineStr">
        <is>
          <t>Previously received Bhagini Nivedita Uchchashiksha Britti? *</t>
        </is>
      </c>
      <c r="C73" s="6">
        <f>NM_BNUB</f>
        <v/>
      </c>
      <c r="D73" s="5" t="n"/>
      <c r="E73" s="6">
        <f>IF(C73="","BLANK","LINKED")</f>
        <v/>
      </c>
    </row>
    <row r="74">
      <c r="A74" s="5" t="inlineStr">
        <is>
          <t>I</t>
        </is>
      </c>
      <c r="B74" s="5" t="inlineStr">
        <is>
          <t>Particulars</t>
        </is>
      </c>
      <c r="C74" s="6">
        <f>NM_SDET</f>
        <v/>
      </c>
      <c r="D74" s="5" t="n"/>
      <c r="E74" s="6">
        <f>IF(C74="","BLANK","LINKED")</f>
        <v/>
      </c>
    </row>
    <row r="76">
      <c r="A76" s="5" t="inlineStr">
        <is>
          <t>J. Applicant declaration</t>
        </is>
      </c>
    </row>
    <row r="77">
      <c r="A77" s="5" t="inlineStr">
        <is>
          <t>J</t>
        </is>
      </c>
      <c r="B77" s="5" t="inlineStr">
        <is>
          <t>Information true and complete</t>
        </is>
      </c>
      <c r="C77" s="6">
        <f>NM_D1</f>
        <v/>
      </c>
      <c r="D77" s="5" t="n"/>
      <c r="E77" s="6">
        <f>IF(C77="","BLANK","LINKED")</f>
        <v/>
      </c>
    </row>
    <row r="78">
      <c r="A78" s="5" t="inlineStr">
        <is>
          <t>J</t>
        </is>
      </c>
      <c r="B78" s="5" t="inlineStr">
        <is>
          <t>Not previously received SVMS</t>
        </is>
      </c>
      <c r="C78" s="6">
        <f>NM_D2</f>
        <v/>
      </c>
      <c r="D78" s="5" t="n"/>
      <c r="E78" s="6">
        <f>IF(C78="","BLANK","LINKED")</f>
        <v/>
      </c>
    </row>
    <row r="79">
      <c r="A79" s="5" t="inlineStr">
        <is>
          <t>J</t>
        </is>
      </c>
      <c r="B79" s="5" t="inlineStr">
        <is>
          <t>UG dual-benefit declaration</t>
        </is>
      </c>
      <c r="C79" s="6">
        <f>NM_D3</f>
        <v/>
      </c>
      <c r="D79" s="5" t="n"/>
      <c r="E79" s="6">
        <f>IF(C79="","BLANK","LINKED")</f>
        <v/>
      </c>
    </row>
    <row r="80">
      <c r="A80" s="5" t="inlineStr">
        <is>
          <t>J</t>
        </is>
      </c>
      <c r="B80" s="5" t="inlineStr">
        <is>
          <t>Place</t>
        </is>
      </c>
      <c r="C80" s="6">
        <f>NM_PLC</f>
        <v/>
      </c>
      <c r="D80" s="5" t="n"/>
      <c r="E80" s="6">
        <f>IF(C80="","BLANK","LINKED")</f>
        <v/>
      </c>
    </row>
    <row r="81">
      <c r="A81" s="5" t="inlineStr">
        <is>
          <t>J</t>
        </is>
      </c>
      <c r="B81" s="5" t="inlineStr">
        <is>
          <t>Date</t>
        </is>
      </c>
      <c r="C81" s="19">
        <f>NM_DDT</f>
        <v/>
      </c>
      <c r="D81" s="5" t="n"/>
      <c r="E81" s="6">
        <f>IF(C81="","BLANK","LINKED")</f>
        <v/>
      </c>
    </row>
    <row r="83">
      <c r="A83" s="5" t="inlineStr">
        <is>
          <t>H. Documents — see 13_Documents</t>
        </is>
      </c>
    </row>
    <row r="84">
      <c r="A84" s="6">
        <f>"Document completeness: "&amp;13_Documents!C5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5">
    <mergeCell ref="A18:H18"/>
    <mergeCell ref="A4:H4"/>
    <mergeCell ref="A3:H3"/>
    <mergeCell ref="A26:H26"/>
    <mergeCell ref="A83:H83"/>
    <mergeCell ref="A2:H2"/>
    <mergeCell ref="A54:H54"/>
    <mergeCell ref="A64:H64"/>
    <mergeCell ref="A71:H71"/>
    <mergeCell ref="A76:H76"/>
    <mergeCell ref="A33:H33"/>
    <mergeCell ref="A1:H1"/>
    <mergeCell ref="A46:H46"/>
    <mergeCell ref="A84:H84"/>
    <mergeCell ref="A6:H6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6" customWidth="1" min="1" max="1"/>
    <col width="72" customWidth="1" min="2" max="2"/>
    <col width="18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ANNEXURE-III  •  DECLARATION-CUM-UNDERTAKING AND SCHOLARSHIP AGREEMENT</t>
        </is>
      </c>
    </row>
    <row r="4">
      <c r="A4" s="4" t="inlineStr">
        <is>
          <t>Execute electronically before first disbursement  |  Every clause must read Yes</t>
        </is>
      </c>
    </row>
    <row r="6">
      <c r="A6" s="5" t="inlineStr">
        <is>
          <t>Linked identity</t>
        </is>
      </c>
    </row>
    <row r="7">
      <c r="B7" s="5" t="inlineStr">
        <is>
          <t>Application / Scholar ID</t>
        </is>
      </c>
      <c r="C7" s="6">
        <f>NM_ID</f>
        <v/>
      </c>
    </row>
    <row r="8">
      <c r="B8" s="5" t="inlineStr">
        <is>
          <t>Scholar name</t>
        </is>
      </c>
      <c r="C8" s="6">
        <f>NM_NAME</f>
        <v/>
      </c>
    </row>
    <row r="9">
      <c r="B9" s="5" t="inlineStr">
        <is>
          <t>Component</t>
        </is>
      </c>
      <c r="C9" s="6">
        <f>NM_COMP</f>
        <v/>
      </c>
    </row>
    <row r="10">
      <c r="B10" s="5" t="inlineStr">
        <is>
          <t>Programme</t>
        </is>
      </c>
      <c r="C10" s="6">
        <f>NM_PROG</f>
        <v/>
      </c>
    </row>
    <row r="11">
      <c r="B11" s="5" t="inlineStr">
        <is>
          <t>Institution</t>
        </is>
      </c>
      <c r="C11" s="6">
        <f>NM_INST</f>
        <v/>
      </c>
    </row>
    <row r="13">
      <c r="A13" s="5" t="inlineStr">
        <is>
          <t>Undertaking clauses — select Yes in column C against every clause</t>
        </is>
      </c>
    </row>
    <row r="14">
      <c r="A14" s="5" t="inlineStr">
        <is>
          <t>U1</t>
        </is>
      </c>
      <c r="B14" s="5" t="inlineStr">
        <is>
          <t>True, complete and accurate information and authentic documents.</t>
        </is>
      </c>
      <c r="C14" s="21" t="n"/>
    </row>
    <row r="15">
      <c r="A15" s="5" t="inlineStr">
        <is>
          <t>U2</t>
        </is>
      </c>
      <c r="B15" s="5" t="inlineStr">
        <is>
          <t>I satisfy the eligibility conditions and shall inform the Department if any condition ceases.</t>
        </is>
      </c>
      <c r="C15" s="21" t="n"/>
    </row>
    <row r="16">
      <c r="A16" s="5" t="inlineStr">
        <is>
          <t>U3</t>
        </is>
      </c>
      <c r="B16" s="5" t="inlineStr">
        <is>
          <t>I shall disclose other assistance for the same course; SVMS shall be adjusted accordingly.</t>
        </is>
      </c>
      <c r="C16" s="21" t="n"/>
    </row>
    <row r="17">
      <c r="A17" s="5" t="inlineStr">
        <is>
          <t>U4</t>
        </is>
      </c>
      <c r="B17" s="5" t="inlineStr">
        <is>
          <t>UG: I have not received BNUB for an Undergraduate programme (select Yes also for Master's).</t>
        </is>
      </c>
      <c r="C17" s="21" t="n"/>
    </row>
    <row r="18">
      <c r="A18" s="5" t="inlineStr">
        <is>
          <t>U5</t>
        </is>
      </c>
      <c r="B18" s="5" t="inlineStr">
        <is>
          <t>I have not previously received SVMS; assistance is once in a lifetime.</t>
        </is>
      </c>
      <c r="C18" s="21" t="n"/>
    </row>
    <row r="19">
      <c r="A19" s="5" t="inlineStr">
        <is>
          <t>U6</t>
        </is>
      </c>
      <c r="B19" s="5" t="inlineStr">
        <is>
          <t>Preferred payment mode is only a preference; final decision rests with GoWB.</t>
        </is>
      </c>
      <c r="C19" s="21" t="n"/>
    </row>
    <row r="20">
      <c r="A20" s="5" t="inlineStr">
        <is>
          <t>U7</t>
        </is>
      </c>
      <c r="B20" s="5" t="inlineStr">
        <is>
          <t>I shall remain enrolled within Original Programme Timelines, full-time, in good standing.</t>
        </is>
      </c>
      <c r="C20" s="21" t="n"/>
    </row>
    <row r="21">
      <c r="A21" s="5" t="inlineStr">
        <is>
          <t>U8</t>
        </is>
      </c>
      <c r="B21" s="5" t="inlineStr">
        <is>
          <t>I shall promptly inform backlog, deferral, leave, withdrawal or proposed change.</t>
        </is>
      </c>
      <c r="C21" s="21" t="n"/>
    </row>
    <row r="22">
      <c r="A22" s="5" t="inlineStr">
        <is>
          <t>U9</t>
        </is>
      </c>
      <c r="B22" s="5" t="inlineStr">
        <is>
          <t>I shall not claim support beyond Original Programme Timelines for backlog/extension.</t>
        </is>
      </c>
      <c r="C22" s="21" t="n"/>
    </row>
    <row r="23">
      <c r="A23" s="5" t="inlineStr">
        <is>
          <t>U10</t>
        </is>
      </c>
      <c r="B23" s="5" t="inlineStr">
        <is>
          <t>I shall furnish fee demands, proof of payment and enrolment confirmation when required.</t>
        </is>
      </c>
      <c r="C23" s="21" t="n"/>
    </row>
    <row r="24">
      <c r="A24" s="5" t="inlineStr">
        <is>
          <t>U11</t>
        </is>
      </c>
      <c r="B24" s="5" t="inlineStr">
        <is>
          <t>I shall intimate fee revision / refund / excess and refund or permit adjustment.</t>
        </is>
      </c>
      <c r="C24" s="21" t="n"/>
    </row>
    <row r="25">
      <c r="A25" s="5" t="inlineStr">
        <is>
          <t>U12</t>
        </is>
      </c>
      <c r="B25" s="5" t="inlineStr">
        <is>
          <t>I authorise electronic and manual verification from official databases.</t>
        </is>
      </c>
      <c r="C25" s="21" t="n"/>
    </row>
    <row r="26">
      <c r="A26" s="5" t="inlineStr">
        <is>
          <t>U13</t>
        </is>
      </c>
      <c r="B26" s="5" t="inlineStr">
        <is>
          <t>I shall permit audit / inspection.</t>
        </is>
      </c>
      <c r="C26" s="21" t="n"/>
    </row>
    <row r="27">
      <c r="A27" s="5" t="inlineStr">
        <is>
          <t>U14</t>
        </is>
      </c>
      <c r="B27" s="5" t="inlineStr">
        <is>
          <t>False declaration may lead to cancellation, recovery with interest, 5-year debarment and prosecution.</t>
        </is>
      </c>
      <c r="C27" s="21" t="n"/>
    </row>
    <row r="28">
      <c r="A28" s="5" t="inlineStr">
        <is>
          <t>U15</t>
        </is>
      </c>
      <c r="B28" s="5" t="inlineStr">
        <is>
          <t>I have no right to insist upon a particular mode of disbursement.</t>
        </is>
      </c>
      <c r="C28" s="21" t="n"/>
    </row>
    <row r="29">
      <c r="A29" s="5" t="inlineStr">
        <is>
          <t>U16</t>
        </is>
      </c>
      <c r="B29" s="5" t="inlineStr">
        <is>
          <t>I consent to processing of personal information for SVMS administration.</t>
        </is>
      </c>
      <c r="C29" s="21" t="n"/>
    </row>
    <row r="30">
      <c r="A30" s="5" t="inlineStr">
        <is>
          <t>U17</t>
        </is>
      </c>
      <c r="B30" s="5" t="inlineStr">
        <is>
          <t>I have read the SVMS Guidelines and will abide by lawful operational instructions.</t>
        </is>
      </c>
      <c r="C30" s="21" t="n"/>
    </row>
    <row r="32">
      <c r="A32" s="5" t="inlineStr">
        <is>
          <t>Execution</t>
        </is>
      </c>
    </row>
    <row r="33">
      <c r="B33" s="5" t="inlineStr">
        <is>
          <t>Parent / guardian name (Master)</t>
        </is>
      </c>
      <c r="C33" s="6">
        <f>NM_PAR</f>
        <v/>
      </c>
    </row>
    <row r="34">
      <c r="B34" s="5" t="inlineStr">
        <is>
          <t>Parent / guardian countersignature recorded?</t>
        </is>
      </c>
      <c r="C34" s="21" t="n"/>
    </row>
    <row r="35">
      <c r="B35" s="5" t="inlineStr">
        <is>
          <t>Place of execution *</t>
        </is>
      </c>
      <c r="C35" s="21" t="n"/>
    </row>
    <row r="36">
      <c r="B36" s="5" t="inlineStr">
        <is>
          <t>Date of execution *</t>
        </is>
      </c>
      <c r="C36" s="22" t="n"/>
    </row>
    <row r="37">
      <c r="B37" s="5" t="inlineStr">
        <is>
          <t>Mode of execution</t>
        </is>
      </c>
      <c r="C37" s="5" t="inlineStr">
        <is>
          <t>Electronic / portal OTP</t>
        </is>
      </c>
    </row>
    <row r="39">
      <c r="A39" s="5" t="inlineStr">
        <is>
          <t>System result</t>
        </is>
      </c>
    </row>
    <row r="40">
      <c r="B40" s="5" t="inlineStr">
        <is>
          <t>Annex-III status</t>
        </is>
      </c>
      <c r="C40" s="6">
        <f>IF(COUNTIF(C14:C30,"Yes")&lt;17,"PENDING — "&amp;(17-COUNTIF(C14:C30,"Yes"))&amp;" clause(s) not accepted",IF(C41="ALIGNED","ALL ACCEPTED AND ALIGNED WITH MASTER","ALL TICKED — "&amp;C41))</f>
        <v/>
      </c>
    </row>
    <row r="41">
      <c r="B41" s="5" t="inlineStr">
        <is>
          <t>Consistency with Master</t>
        </is>
      </c>
      <c r="C41" s="6">
        <f>IF(COUNTIF(C14:C30,"Yes")&lt;17,"PENDING CLAUSES",IF(NM_SVMS="Yes","CONFLICT — Master records prior SVMS (U5)",IF(AND(NM_LVL="Undergraduate",NM_BNUB="Yes"),"CONFLICT — Master records UG BNUB (U4)",IF(C18&lt;&gt;"Yes","CONFLICT — U5 (no prior SVMS) not accepted",IF(AND(NM_LVL="Undergraduate",C17&lt;&gt;"Yes"),"CONFLICT — U4 (no UG BNUB) not accepted","ALIGNED")))))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4">
    <mergeCell ref="A4:H4"/>
    <mergeCell ref="A3:H3"/>
    <mergeCell ref="C11:E11"/>
    <mergeCell ref="A39:H39"/>
    <mergeCell ref="A2:H2"/>
    <mergeCell ref="C8:E8"/>
    <mergeCell ref="C9:E9"/>
    <mergeCell ref="C40:E40"/>
    <mergeCell ref="A13:H13"/>
    <mergeCell ref="A1:H1"/>
    <mergeCell ref="C7:E7"/>
    <mergeCell ref="A32:H32"/>
    <mergeCell ref="A6:H6"/>
    <mergeCell ref="C10:E10"/>
  </mergeCells>
  <dataValidations count="2">
    <dataValidation sqref="C14:C30" showDropDown="0" showInputMessage="0" showErrorMessage="1" allowBlank="1" errorTitle="Invalid entry" error="Select a value from the list." type="list">
      <formula1>L_YN</formula1>
    </dataValidation>
    <dataValidation sqref="C34" showDropDown="0" showInputMessage="0" showErrorMessage="1" allowBlank="1" errorTitle="Invalid entry" error="Select a value from the list." type="list">
      <formula1>L_YN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22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8" customWidth="1" min="11" max="11"/>
    <col width="14" customWidth="1" min="12" max="12"/>
    <col width="14" customWidth="1" min="13" max="13"/>
    <col width="14" customWidth="1" min="14" max="14"/>
    <col width="18" customWidth="1" min="15" max="15"/>
    <col width="36" customWidth="1" min="16" max="16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ANNEXURE-IV  •  CONTINUATION / RENEWAL REQUEST</t>
        </is>
      </c>
    </row>
    <row r="4">
      <c r="A4" s="4" t="inlineStr">
        <is>
          <t>One row = one academic period  |  Institution / programme must match Master unless Annex-VII records a change</t>
        </is>
      </c>
    </row>
    <row r="5">
      <c r="A5" s="5" t="inlineStr">
        <is>
          <t>Enter Semester and Period start to open a row. Institution, programme, full-time flag and pay mode come from Master (or from an Annex-VII change). A period that starts on/after a recorded withdrawal is rejected.</t>
        </is>
      </c>
    </row>
    <row r="6">
      <c r="A6" s="5" t="inlineStr">
        <is>
          <t>Sl.</t>
        </is>
      </c>
      <c r="B6" s="5" t="inlineStr">
        <is>
          <t>Scholar ID</t>
        </is>
      </c>
      <c r="C6" s="5" t="inlineStr">
        <is>
          <t>Application ID</t>
        </is>
      </c>
      <c r="D6" s="5" t="inlineStr">
        <is>
          <t>Institution</t>
        </is>
      </c>
      <c r="E6" s="5" t="inlineStr">
        <is>
          <t>Programme</t>
        </is>
      </c>
      <c r="F6" s="5" t="inlineStr">
        <is>
          <t>Semester / AY</t>
        </is>
      </c>
      <c r="G6" s="5" t="inlineStr">
        <is>
          <t>Period start</t>
        </is>
      </c>
      <c r="H6" s="5" t="inlineStr">
        <is>
          <t>Period end</t>
        </is>
      </c>
      <c r="I6" s="5" t="inlineStr">
        <is>
          <t>Expected completion</t>
        </is>
      </c>
      <c r="J6" s="5" t="inlineStr">
        <is>
          <t>Full-time?</t>
        </is>
      </c>
      <c r="K6" s="5" t="inlineStr">
        <is>
          <t>Backlog / supplementary</t>
        </is>
      </c>
      <c r="L6" s="5" t="inlineStr">
        <is>
          <t>Tuition fee demand</t>
        </is>
      </c>
      <c r="M6" s="5" t="inlineStr">
        <is>
          <t>Health insurance</t>
        </is>
      </c>
      <c r="N6" s="5" t="inlineStr">
        <is>
          <t>Other aid this period</t>
        </is>
      </c>
      <c r="O6" s="5" t="inlineStr">
        <is>
          <t>Preferred pay mode</t>
        </is>
      </c>
      <c r="P6" s="5" t="inlineStr">
        <is>
          <t>Row status</t>
        </is>
      </c>
    </row>
    <row r="7">
      <c r="A7" s="5" t="n">
        <v>1</v>
      </c>
      <c r="B7" s="6">
        <f>IF(G7="","",NM_ID)</f>
        <v/>
      </c>
      <c r="C7" s="6">
        <f>IF(G7="","",NM_ID)</f>
        <v/>
      </c>
      <c r="D7" s="6">
        <f>IF(G7="","",IF(COUNTIF(08_AnnexVII_Change!D$7:D$14,"Change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7" s="6">
        <f>IF(G7="","",IF(COUNTIF(08_AnnexVII_Change!D$7:D$14,"Change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7" s="10" t="n"/>
      <c r="G7" s="10" t="n"/>
      <c r="H7" s="10" t="n"/>
      <c r="I7" s="10" t="n"/>
      <c r="J7" s="6">
        <f>IF(G7="","",IF(NM_FT="","Yes",NM_FT))</f>
        <v/>
      </c>
      <c r="K7" s="10" t="n"/>
      <c r="L7" s="10" t="n"/>
      <c r="M7" s="10" t="n"/>
      <c r="N7" s="10" t="n"/>
      <c r="O7" s="6">
        <f>IF(G7="","",NM_PAY)</f>
        <v/>
      </c>
      <c r="P7" s="6">
        <f>IF(G7="","—",IF(AND(09_AnnexVIII_Withdraw!C12&lt;&gt;"",G7&lt;&gt;"",G7&gt;=09_AnnexVIII_Withdraw!C12),"ERROR — period after withdrawal",IF(AND(D7&lt;&gt;NM_INST,COUNTIF(08_AnnexVII_Change!D$7:D$14,"Change of institution (Clause 4.6)")=0),"ERROR — institution differs from Master (no Annex-VII change)",IF(AND(E7&lt;&gt;NM_PROG,COUNTIF(08_AnnexVII_Change!D$7:D$14,"Change of programme (Clause 4.6)")=0),"ERROR — programme differs from Master (no Annex-VII change)",IF(J7="No","ERROR — not full-time",IF(AND(G7&lt;&gt;"",I7&lt;&gt;"",I7&gt;NM_END),"ERROR — exceeds original timelines","OK"))))))</f>
        <v/>
      </c>
    </row>
    <row r="8">
      <c r="A8" s="5" t="n">
        <v>2</v>
      </c>
      <c r="B8" s="6">
        <f>IF(G8="","",NM_ID)</f>
        <v/>
      </c>
      <c r="C8" s="6">
        <f>IF(G8="","",NM_ID)</f>
        <v/>
      </c>
      <c r="D8" s="6">
        <f>IF(G8="","",IF(COUNTIF(08_AnnexVII_Change!D$7:D$14,"Change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8" s="6">
        <f>IF(G8="","",IF(COUNTIF(08_AnnexVII_Change!D$7:D$14,"Change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8" s="10" t="n"/>
      <c r="G8" s="10" t="n"/>
      <c r="H8" s="10" t="n"/>
      <c r="I8" s="10" t="n"/>
      <c r="J8" s="6">
        <f>IF(G8="","",IF(NM_FT="","Yes",NM_FT))</f>
        <v/>
      </c>
      <c r="K8" s="10" t="n"/>
      <c r="L8" s="10" t="n"/>
      <c r="M8" s="10" t="n"/>
      <c r="N8" s="10" t="n"/>
      <c r="O8" s="6">
        <f>IF(G8="","",NM_PAY)</f>
        <v/>
      </c>
      <c r="P8" s="6">
        <f>IF(G8="","—",IF(AND(09_AnnexVIII_Withdraw!C12&lt;&gt;"",G8&lt;&gt;"",G8&gt;=09_AnnexVIII_Withdraw!C12),"ERROR — period after withdrawal",IF(AND(D8&lt;&gt;NM_INST,COUNTIF(08_AnnexVII_Change!D$7:D$14,"Change of institution (Clause 4.6)")=0),"ERROR — institution differs from Master (no Annex-VII change)",IF(AND(E8&lt;&gt;NM_PROG,COUNTIF(08_AnnexVII_Change!D$7:D$14,"Change of programme (Clause 4.6)")=0),"ERROR — programme differs from Master (no Annex-VII change)",IF(J8="No","ERROR — not full-time",IF(AND(G8&lt;&gt;"",I8&lt;&gt;"",I8&gt;NM_END),"ERROR — exceeds original timelines","OK"))))))</f>
        <v/>
      </c>
    </row>
    <row r="9">
      <c r="A9" s="5" t="n">
        <v>3</v>
      </c>
      <c r="B9" s="6">
        <f>IF(G9="","",NM_ID)</f>
        <v/>
      </c>
      <c r="C9" s="6">
        <f>IF(G9="","",NM_ID)</f>
        <v/>
      </c>
      <c r="D9" s="6">
        <f>IF(G9="","",IF(COUNTIF(08_AnnexVII_Change!D$7:D$14,"Change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9" s="6">
        <f>IF(G9="","",IF(COUNTIF(08_AnnexVII_Change!D$7:D$14,"Change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9" s="10" t="n"/>
      <c r="G9" s="10" t="n"/>
      <c r="H9" s="10" t="n"/>
      <c r="I9" s="10" t="n"/>
      <c r="J9" s="6">
        <f>IF(G9="","",IF(NM_FT="","Yes",NM_FT))</f>
        <v/>
      </c>
      <c r="K9" s="10" t="n"/>
      <c r="L9" s="10" t="n"/>
      <c r="M9" s="10" t="n"/>
      <c r="N9" s="10" t="n"/>
      <c r="O9" s="6">
        <f>IF(G9="","",NM_PAY)</f>
        <v/>
      </c>
      <c r="P9" s="6">
        <f>IF(G9="","—",IF(AND(09_AnnexVIII_Withdraw!C12&lt;&gt;"",G9&lt;&gt;"",G9&gt;=09_AnnexVIII_Withdraw!C12),"ERROR — period after withdrawal",IF(AND(D9&lt;&gt;NM_INST,COUNTIF(08_AnnexVII_Change!D$7:D$14,"Change of institution (Clause 4.6)")=0),"ERROR — institution differs from Master (no Annex-VII change)",IF(AND(E9&lt;&gt;NM_PROG,COUNTIF(08_AnnexVII_Change!D$7:D$14,"Change of programme (Clause 4.6)")=0),"ERROR — programme differs from Master (no Annex-VII change)",IF(J9="No","ERROR — not full-time",IF(AND(G9&lt;&gt;"",I9&lt;&gt;"",I9&gt;NM_END),"ERROR — exceeds original timelines","OK"))))))</f>
        <v/>
      </c>
    </row>
    <row r="10">
      <c r="A10" s="5" t="n">
        <v>4</v>
      </c>
      <c r="B10" s="6">
        <f>IF(G10="","",NM_ID)</f>
        <v/>
      </c>
      <c r="C10" s="6">
        <f>IF(G10="","",NM_ID)</f>
        <v/>
      </c>
      <c r="D10" s="6">
        <f>IF(G10="","",IF(COUNTIF(08_AnnexVII_Change!D$7:D$14,"Change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0" s="6">
        <f>IF(G10="","",IF(COUNTIF(08_AnnexVII_Change!D$7:D$14,"Change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0" s="10" t="n"/>
      <c r="G10" s="10" t="n"/>
      <c r="H10" s="10" t="n"/>
      <c r="I10" s="10" t="n"/>
      <c r="J10" s="6">
        <f>IF(G10="","",IF(NM_FT="","Yes",NM_FT))</f>
        <v/>
      </c>
      <c r="K10" s="10" t="n"/>
      <c r="L10" s="10" t="n"/>
      <c r="M10" s="10" t="n"/>
      <c r="N10" s="10" t="n"/>
      <c r="O10" s="6">
        <f>IF(G10="","",NM_PAY)</f>
        <v/>
      </c>
      <c r="P10" s="6">
        <f>IF(G10="","—",IF(AND(09_AnnexVIII_Withdraw!C12&lt;&gt;"",G10&lt;&gt;"",G10&gt;=09_AnnexVIII_Withdraw!C12),"ERROR — period after withdrawal",IF(AND(D10&lt;&gt;NM_INST,COUNTIF(08_AnnexVII_Change!D$7:D$14,"Change of institution (Clause 4.6)")=0),"ERROR — institution differs from Master (no Annex-VII change)",IF(AND(E10&lt;&gt;NM_PROG,COUNTIF(08_AnnexVII_Change!D$7:D$14,"Change of programme (Clause 4.6)")=0),"ERROR — programme differs from Master (no Annex-VII change)",IF(J10="No","ERROR — not full-time",IF(AND(G10&lt;&gt;"",I10&lt;&gt;"",I10&gt;NM_END),"ERROR — exceeds original timelines","OK"))))))</f>
        <v/>
      </c>
    </row>
    <row r="11">
      <c r="A11" s="5" t="n">
        <v>5</v>
      </c>
      <c r="B11" s="6">
        <f>IF(G11="","",NM_ID)</f>
        <v/>
      </c>
      <c r="C11" s="6">
        <f>IF(G11="","",NM_ID)</f>
        <v/>
      </c>
      <c r="D11" s="6">
        <f>IF(G11="","",IF(COUNTIF(08_AnnexVII_Change!D$7:D$14,"Change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1" s="6">
        <f>IF(G11="","",IF(COUNTIF(08_AnnexVII_Change!D$7:D$14,"Change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1" s="10" t="n"/>
      <c r="G11" s="10" t="n"/>
      <c r="H11" s="10" t="n"/>
      <c r="I11" s="10" t="n"/>
      <c r="J11" s="6">
        <f>IF(G11="","",IF(NM_FT="","Yes",NM_FT))</f>
        <v/>
      </c>
      <c r="K11" s="10" t="n"/>
      <c r="L11" s="10" t="n"/>
      <c r="M11" s="10" t="n"/>
      <c r="N11" s="10" t="n"/>
      <c r="O11" s="6">
        <f>IF(G11="","",NM_PAY)</f>
        <v/>
      </c>
      <c r="P11" s="6">
        <f>IF(G11="","—",IF(AND(09_AnnexVIII_Withdraw!C12&lt;&gt;"",G11&lt;&gt;"",G11&gt;=09_AnnexVIII_Withdraw!C12),"ERROR — period after withdrawal",IF(AND(D11&lt;&gt;NM_INST,COUNTIF(08_AnnexVII_Change!D$7:D$14,"Change of institution (Clause 4.6)")=0),"ERROR — institution differs from Master (no Annex-VII change)",IF(AND(E11&lt;&gt;NM_PROG,COUNTIF(08_AnnexVII_Change!D$7:D$14,"Change of programme (Clause 4.6)")=0),"ERROR — programme differs from Master (no Annex-VII change)",IF(J11="No","ERROR — not full-time",IF(AND(G11&lt;&gt;"",I11&lt;&gt;"",I11&gt;NM_END),"ERROR — exceeds original timelines","OK"))))))</f>
        <v/>
      </c>
    </row>
    <row r="12">
      <c r="A12" s="5" t="n">
        <v>6</v>
      </c>
      <c r="B12" s="6">
        <f>IF(G12="","",NM_ID)</f>
        <v/>
      </c>
      <c r="C12" s="6">
        <f>IF(G12="","",NM_ID)</f>
        <v/>
      </c>
      <c r="D12" s="6">
        <f>IF(G12="","",IF(COUNTIF(08_AnnexVII_Change!D$7:D$14,"Change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2" s="6">
        <f>IF(G12="","",IF(COUNTIF(08_AnnexVII_Change!D$7:D$14,"Change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2" s="10" t="n"/>
      <c r="G12" s="10" t="n"/>
      <c r="H12" s="10" t="n"/>
      <c r="I12" s="10" t="n"/>
      <c r="J12" s="6">
        <f>IF(G12="","",IF(NM_FT="","Yes",NM_FT))</f>
        <v/>
      </c>
      <c r="K12" s="10" t="n"/>
      <c r="L12" s="10" t="n"/>
      <c r="M12" s="10" t="n"/>
      <c r="N12" s="10" t="n"/>
      <c r="O12" s="6">
        <f>IF(G12="","",NM_PAY)</f>
        <v/>
      </c>
      <c r="P12" s="6">
        <f>IF(G12="","—",IF(AND(09_AnnexVIII_Withdraw!C12&lt;&gt;"",G12&lt;&gt;"",G12&gt;=09_AnnexVIII_Withdraw!C12),"ERROR — period after withdrawal",IF(AND(D12&lt;&gt;NM_INST,COUNTIF(08_AnnexVII_Change!D$7:D$14,"Change of institution (Clause 4.6)")=0),"ERROR — institution differs from Master (no Annex-VII change)",IF(AND(E12&lt;&gt;NM_PROG,COUNTIF(08_AnnexVII_Change!D$7:D$14,"Change of programme (Clause 4.6)")=0),"ERROR — programme differs from Master (no Annex-VII change)",IF(J12="No","ERROR — not full-time",IF(AND(G12&lt;&gt;"",I12&lt;&gt;"",I12&gt;NM_END),"ERROR — exceeds original timelines","OK"))))))</f>
        <v/>
      </c>
    </row>
    <row r="13">
      <c r="A13" s="5" t="n">
        <v>7</v>
      </c>
      <c r="B13" s="6">
        <f>IF(G13="","",NM_ID)</f>
        <v/>
      </c>
      <c r="C13" s="6">
        <f>IF(G13="","",NM_ID)</f>
        <v/>
      </c>
      <c r="D13" s="6">
        <f>IF(G13="","",IF(COUNTIF(08_AnnexVII_Change!D$7:D$14,"Change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3" s="6">
        <f>IF(G13="","",IF(COUNTIF(08_AnnexVII_Change!D$7:D$14,"Change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3" s="10" t="n"/>
      <c r="G13" s="10" t="n"/>
      <c r="H13" s="10" t="n"/>
      <c r="I13" s="10" t="n"/>
      <c r="J13" s="6">
        <f>IF(G13="","",IF(NM_FT="","Yes",NM_FT))</f>
        <v/>
      </c>
      <c r="K13" s="10" t="n"/>
      <c r="L13" s="10" t="n"/>
      <c r="M13" s="10" t="n"/>
      <c r="N13" s="10" t="n"/>
      <c r="O13" s="6">
        <f>IF(G13="","",NM_PAY)</f>
        <v/>
      </c>
      <c r="P13" s="6">
        <f>IF(G13="","—",IF(AND(09_AnnexVIII_Withdraw!C12&lt;&gt;"",G13&lt;&gt;"",G13&gt;=09_AnnexVIII_Withdraw!C12),"ERROR — period after withdrawal",IF(AND(D13&lt;&gt;NM_INST,COUNTIF(08_AnnexVII_Change!D$7:D$14,"Change of institution (Clause 4.6)")=0),"ERROR — institution differs from Master (no Annex-VII change)",IF(AND(E13&lt;&gt;NM_PROG,COUNTIF(08_AnnexVII_Change!D$7:D$14,"Change of programme (Clause 4.6)")=0),"ERROR — programme differs from Master (no Annex-VII change)",IF(J13="No","ERROR — not full-time",IF(AND(G13&lt;&gt;"",I13&lt;&gt;"",I13&gt;NM_END),"ERROR — exceeds original timelines","OK"))))))</f>
        <v/>
      </c>
    </row>
    <row r="14">
      <c r="A14" s="5" t="n">
        <v>8</v>
      </c>
      <c r="B14" s="6">
        <f>IF(G14="","",NM_ID)</f>
        <v/>
      </c>
      <c r="C14" s="6">
        <f>IF(G14="","",NM_ID)</f>
        <v/>
      </c>
      <c r="D14" s="6">
        <f>IF(G14="","",IF(COUNTIF(08_AnnexVII_Change!D$7:D$14,"Change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4" s="6">
        <f>IF(G14="","",IF(COUNTIF(08_AnnexVII_Change!D$7:D$14,"Change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4" s="10" t="n"/>
      <c r="G14" s="10" t="n"/>
      <c r="H14" s="10" t="n"/>
      <c r="I14" s="10" t="n"/>
      <c r="J14" s="6">
        <f>IF(G14="","",IF(NM_FT="","Yes",NM_FT))</f>
        <v/>
      </c>
      <c r="K14" s="10" t="n"/>
      <c r="L14" s="10" t="n"/>
      <c r="M14" s="10" t="n"/>
      <c r="N14" s="10" t="n"/>
      <c r="O14" s="6">
        <f>IF(G14="","",NM_PAY)</f>
        <v/>
      </c>
      <c r="P14" s="6">
        <f>IF(G14="","—",IF(AND(09_AnnexVIII_Withdraw!C12&lt;&gt;"",G14&lt;&gt;"",G14&gt;=09_AnnexVIII_Withdraw!C12),"ERROR — period after withdrawal",IF(AND(D14&lt;&gt;NM_INST,COUNTIF(08_AnnexVII_Change!D$7:D$14,"Change of institution (Clause 4.6)")=0),"ERROR — institution differs from Master (no Annex-VII change)",IF(AND(E14&lt;&gt;NM_PROG,COUNTIF(08_AnnexVII_Change!D$7:D$14,"Change of programme (Clause 4.6)")=0),"ERROR — programme differs from Master (no Annex-VII change)",IF(J14="No","ERROR — not full-time",IF(AND(G14&lt;&gt;"",I14&lt;&gt;"",I14&gt;NM_END),"ERROR — exceeds original timelines","OK"))))))</f>
        <v/>
      </c>
    </row>
    <row r="15">
      <c r="A15" s="5" t="n">
        <v>9</v>
      </c>
      <c r="B15" s="6">
        <f>IF(G15="","",NM_ID)</f>
        <v/>
      </c>
      <c r="C15" s="6">
        <f>IF(G15="","",NM_ID)</f>
        <v/>
      </c>
      <c r="D15" s="6">
        <f>IF(G15="","",IF(COUNTIF(08_AnnexVII_Change!D$7:D$14,"Change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5" s="6">
        <f>IF(G15="","",IF(COUNTIF(08_AnnexVII_Change!D$7:D$14,"Change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5" s="10" t="n"/>
      <c r="G15" s="10" t="n"/>
      <c r="H15" s="10" t="n"/>
      <c r="I15" s="10" t="n"/>
      <c r="J15" s="6">
        <f>IF(G15="","",IF(NM_FT="","Yes",NM_FT))</f>
        <v/>
      </c>
      <c r="K15" s="10" t="n"/>
      <c r="L15" s="10" t="n"/>
      <c r="M15" s="10" t="n"/>
      <c r="N15" s="10" t="n"/>
      <c r="O15" s="6">
        <f>IF(G15="","",NM_PAY)</f>
        <v/>
      </c>
      <c r="P15" s="6">
        <f>IF(G15="","—",IF(AND(09_AnnexVIII_Withdraw!C12&lt;&gt;"",G15&lt;&gt;"",G15&gt;=09_AnnexVIII_Withdraw!C12),"ERROR — period after withdrawal",IF(AND(D15&lt;&gt;NM_INST,COUNTIF(08_AnnexVII_Change!D$7:D$14,"Change of institution (Clause 4.6)")=0),"ERROR — institution differs from Master (no Annex-VII change)",IF(AND(E15&lt;&gt;NM_PROG,COUNTIF(08_AnnexVII_Change!D$7:D$14,"Change of programme (Clause 4.6)")=0),"ERROR — programme differs from Master (no Annex-VII change)",IF(J15="No","ERROR — not full-time",IF(AND(G15&lt;&gt;"",I15&lt;&gt;"",I15&gt;NM_END),"ERROR — exceeds original timelines","OK"))))))</f>
        <v/>
      </c>
    </row>
    <row r="16">
      <c r="A16" s="5" t="n">
        <v>10</v>
      </c>
      <c r="B16" s="6">
        <f>IF(G16="","",NM_ID)</f>
        <v/>
      </c>
      <c r="C16" s="6">
        <f>IF(G16="","",NM_ID)</f>
        <v/>
      </c>
      <c r="D16" s="6">
        <f>IF(G16="","",IF(COUNTIF(08_AnnexVII_Change!D$7:D$14,"Change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6" s="6">
        <f>IF(G16="","",IF(COUNTIF(08_AnnexVII_Change!D$7:D$14,"Change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6" s="10" t="n"/>
      <c r="G16" s="10" t="n"/>
      <c r="H16" s="10" t="n"/>
      <c r="I16" s="10" t="n"/>
      <c r="J16" s="6">
        <f>IF(G16="","",IF(NM_FT="","Yes",NM_FT))</f>
        <v/>
      </c>
      <c r="K16" s="10" t="n"/>
      <c r="L16" s="10" t="n"/>
      <c r="M16" s="10" t="n"/>
      <c r="N16" s="10" t="n"/>
      <c r="O16" s="6">
        <f>IF(G16="","",NM_PAY)</f>
        <v/>
      </c>
      <c r="P16" s="6">
        <f>IF(G16="","—",IF(AND(09_AnnexVIII_Withdraw!C12&lt;&gt;"",G16&lt;&gt;"",G16&gt;=09_AnnexVIII_Withdraw!C12),"ERROR — period after withdrawal",IF(AND(D16&lt;&gt;NM_INST,COUNTIF(08_AnnexVII_Change!D$7:D$14,"Change of institution (Clause 4.6)")=0),"ERROR — institution differs from Master (no Annex-VII change)",IF(AND(E16&lt;&gt;NM_PROG,COUNTIF(08_AnnexVII_Change!D$7:D$14,"Change of programme (Clause 4.6)")=0),"ERROR — programme differs from Master (no Annex-VII change)",IF(J16="No","ERROR — not full-time",IF(AND(G16&lt;&gt;"",I16&lt;&gt;"",I16&gt;NM_END),"ERROR — exceeds original timelines","OK"))))))</f>
        <v/>
      </c>
    </row>
    <row r="17">
      <c r="A17" s="5" t="n">
        <v>11</v>
      </c>
      <c r="B17" s="6">
        <f>IF(G17="","",NM_ID)</f>
        <v/>
      </c>
      <c r="C17" s="6">
        <f>IF(G17="","",NM_ID)</f>
        <v/>
      </c>
      <c r="D17" s="6">
        <f>IF(G17="","",IF(COUNTIF(08_AnnexVII_Change!D$7:D$14,"Change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7" s="6">
        <f>IF(G17="","",IF(COUNTIF(08_AnnexVII_Change!D$7:D$14,"Change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7" s="10" t="n"/>
      <c r="G17" s="10" t="n"/>
      <c r="H17" s="10" t="n"/>
      <c r="I17" s="10" t="n"/>
      <c r="J17" s="6">
        <f>IF(G17="","",IF(NM_FT="","Yes",NM_FT))</f>
        <v/>
      </c>
      <c r="K17" s="10" t="n"/>
      <c r="L17" s="10" t="n"/>
      <c r="M17" s="10" t="n"/>
      <c r="N17" s="10" t="n"/>
      <c r="O17" s="6">
        <f>IF(G17="","",NM_PAY)</f>
        <v/>
      </c>
      <c r="P17" s="6">
        <f>IF(G17="","—",IF(AND(09_AnnexVIII_Withdraw!C12&lt;&gt;"",G17&lt;&gt;"",G17&gt;=09_AnnexVIII_Withdraw!C12),"ERROR — period after withdrawal",IF(AND(D17&lt;&gt;NM_INST,COUNTIF(08_AnnexVII_Change!D$7:D$14,"Change of institution (Clause 4.6)")=0),"ERROR — institution differs from Master (no Annex-VII change)",IF(AND(E17&lt;&gt;NM_PROG,COUNTIF(08_AnnexVII_Change!D$7:D$14,"Change of programme (Clause 4.6)")=0),"ERROR — programme differs from Master (no Annex-VII change)",IF(J17="No","ERROR — not full-time",IF(AND(G17&lt;&gt;"",I17&lt;&gt;"",I17&gt;NM_END),"ERROR — exceeds original timelines","OK"))))))</f>
        <v/>
      </c>
    </row>
    <row r="18">
      <c r="A18" s="5" t="n">
        <v>12</v>
      </c>
      <c r="B18" s="6">
        <f>IF(G18="","",NM_ID)</f>
        <v/>
      </c>
      <c r="C18" s="6">
        <f>IF(G18="","",NM_ID)</f>
        <v/>
      </c>
      <c r="D18" s="6">
        <f>IF(G18="","",IF(COUNTIF(08_AnnexVII_Change!D$7:D$14,"Change of institution (Clause 4.6)")=0,NM_INST,IFERROR(LOOKUP(2,1/(08_AnnexVII_Change!D$7:D$14="Change of institution (Clause 4.6)")/(08_AnnexVII_Change!G$7:G$14&lt;&gt;""),08_AnnexVII_Change!G$7:G$14),NM_INST)))</f>
        <v/>
      </c>
      <c r="E18" s="6">
        <f>IF(G18="","",IF(COUNTIF(08_AnnexVII_Change!D$7:D$14,"Change of programme (Clause 4.6)")=0,NM_PROG,IFERROR(LOOKUP(2,1/(08_AnnexVII_Change!D$7:D$14="Change of programme (Clause 4.6)")/(08_AnnexVII_Change!H$7:H$14&lt;&gt;""),08_AnnexVII_Change!H$7:H$14),NM_PROG)))</f>
        <v/>
      </c>
      <c r="F18" s="10" t="n"/>
      <c r="G18" s="10" t="n"/>
      <c r="H18" s="10" t="n"/>
      <c r="I18" s="10" t="n"/>
      <c r="J18" s="6">
        <f>IF(G18="","",IF(NM_FT="","Yes",NM_FT))</f>
        <v/>
      </c>
      <c r="K18" s="10" t="n"/>
      <c r="L18" s="10" t="n"/>
      <c r="M18" s="10" t="n"/>
      <c r="N18" s="10" t="n"/>
      <c r="O18" s="6">
        <f>IF(G18="","",NM_PAY)</f>
        <v/>
      </c>
      <c r="P18" s="6">
        <f>IF(G18="","—",IF(AND(09_AnnexVIII_Withdraw!C12&lt;&gt;"",G18&lt;&gt;"",G18&gt;=09_AnnexVIII_Withdraw!C12),"ERROR — period after withdrawal",IF(AND(D18&lt;&gt;NM_INST,COUNTIF(08_AnnexVII_Change!D$7:D$14,"Change of institution (Clause 4.6)")=0),"ERROR — institution differs from Master (no Annex-VII change)",IF(AND(E18&lt;&gt;NM_PROG,COUNTIF(08_AnnexVII_Change!D$7:D$14,"Change of programme (Clause 4.6)")=0),"ERROR — programme differs from Master (no Annex-VII change)",IF(J18="No","ERROR — not full-time",IF(AND(G18&lt;&gt;"",I18&lt;&gt;"",I18&gt;NM_END),"ERROR — exceeds original timelines","OK"))))))</f>
        <v/>
      </c>
    </row>
    <row r="20">
      <c r="A20" s="5" t="inlineStr">
        <is>
          <t>Period-level confirmations (apply to every non-blank row)</t>
        </is>
      </c>
    </row>
    <row r="21">
      <c r="A21" s="5" t="inlineStr">
        <is>
          <t>C1</t>
        </is>
      </c>
      <c r="B21" s="5" t="inlineStr">
        <is>
          <t>I remain enrolled in the approved programme.</t>
        </is>
      </c>
      <c r="M21" s="5" t="n"/>
    </row>
    <row r="22">
      <c r="A22" s="5" t="inlineStr">
        <is>
          <t>C2</t>
        </is>
      </c>
      <c r="B22" s="5" t="inlineStr">
        <is>
          <t>I remain within the Original Programme Timelines.</t>
        </is>
      </c>
      <c r="M22" s="5" t="n"/>
    </row>
    <row r="23">
      <c r="A23" s="5" t="inlineStr">
        <is>
          <t>C3</t>
        </is>
      </c>
      <c r="B23" s="5" t="inlineStr">
        <is>
          <t>I continue to satisfy the applicable SVMS conditions.</t>
        </is>
      </c>
      <c r="M23" s="5" t="n"/>
    </row>
    <row r="24">
      <c r="A24" s="5" t="inlineStr">
        <is>
          <t>C4</t>
        </is>
      </c>
      <c r="B24" s="5" t="inlineStr">
        <is>
          <t>I have disclosed all other assistance / fee waiver for the same course.</t>
        </is>
      </c>
      <c r="M24" s="5" t="n"/>
    </row>
    <row r="25">
      <c r="A25" s="5" t="inlineStr">
        <is>
          <t>C5</t>
        </is>
      </c>
      <c r="B25" s="5" t="inlineStr">
        <is>
          <t>I have reported any backlog, deferral, leave, withdrawal or proposed change.</t>
        </is>
      </c>
      <c r="M25" s="5" t="n"/>
    </row>
    <row r="26">
      <c r="A26" s="5" t="inlineStr">
        <is>
          <t>C6</t>
        </is>
      </c>
      <c r="B26" s="5" t="inlineStr">
        <is>
          <t>The information furnished is true and complete.</t>
        </is>
      </c>
      <c r="M26" s="5" t="n"/>
    </row>
    <row r="28">
      <c r="B28" s="5" t="inlineStr">
        <is>
          <t>Annex-IV pack status</t>
        </is>
      </c>
      <c r="D28" s="6">
        <f>IF(COUNTA(G7:G18)=0,"NO PERIOD ENTERED",IF(COUNTIF(P7:P18,"ERROR*")&gt;0,"ERRORS IN LINE ITEMS",IF(COUNTIF(M21:M26,"Yes")&lt;6,"CONFIRMATIONS INCOMPLETE","IN ORDER")))</f>
        <v/>
      </c>
    </row>
    <row r="29">
      <c r="B29" s="5" t="inlineStr">
        <is>
          <t>Number of periods</t>
        </is>
      </c>
      <c r="D29" s="6">
        <f>COUNTA(G7:G18)</f>
        <v/>
      </c>
    </row>
    <row r="30">
      <c r="B30" s="5" t="inlineStr">
        <is>
          <t>Sum of tuition demands</t>
        </is>
      </c>
      <c r="D30" s="6">
        <f>SUM(L7:L18)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2">
    <mergeCell ref="A5:P5"/>
    <mergeCell ref="B26:L26"/>
    <mergeCell ref="B21:L21"/>
    <mergeCell ref="A1:P1"/>
    <mergeCell ref="B25:L25"/>
    <mergeCell ref="B24:L24"/>
    <mergeCell ref="A4:P4"/>
    <mergeCell ref="A3:P3"/>
    <mergeCell ref="B22:L22"/>
    <mergeCell ref="A20:P20"/>
    <mergeCell ref="B23:L23"/>
    <mergeCell ref="A2:P2"/>
  </mergeCells>
  <dataValidations count="3">
    <dataValidation sqref="J7:J18" showDropDown="0" showInputMessage="0" showErrorMessage="1" allowBlank="1" errorTitle="Invalid entry" error="Select a value from the list." type="list">
      <formula1>L_YN</formula1>
    </dataValidation>
    <dataValidation sqref="O7:O18" showDropDown="0" showInputMessage="0" showErrorMessage="1" allowBlank="1" errorTitle="Invalid entry" error="Select a value from the list." type="list">
      <formula1>L_Pay</formula1>
    </dataValidation>
    <dataValidation sqref="M21:M26" showDropDown="0" showInputMessage="0" showErrorMessage="1" allowBlank="1" errorTitle="Invalid entry" error="Select a value from the list." type="list">
      <formula1>L_YN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6" customWidth="1" min="10" max="10"/>
    <col width="14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ANNEXURE-V  •  TUITION FEE / HEALTH INSURANCE REIMBURSEMENT CLAIM</t>
        </is>
      </c>
    </row>
    <row r="4">
      <c r="A4" s="4" t="inlineStr">
        <is>
          <t>Use when Master mode is DBT reimbursement. Scholar ID, cap and admissible amount are computed from Master. A claim cannot be added after a withdrawal is recorded on Annex-VIII. Domestic rows cannot carry health insurance.</t>
        </is>
      </c>
    </row>
    <row r="6">
      <c r="A6" s="5" t="inlineStr">
        <is>
          <t>Sl.</t>
        </is>
      </c>
      <c r="B6" s="5" t="inlineStr">
        <is>
          <t>Scholar ID</t>
        </is>
      </c>
      <c r="C6" s="5" t="inlineStr">
        <is>
          <t>Claim period</t>
        </is>
      </c>
      <c r="D6" s="5" t="inlineStr">
        <is>
          <t>Semester / AY</t>
        </is>
      </c>
      <c r="E6" s="5" t="inlineStr">
        <is>
          <t>Tuition paid</t>
        </is>
      </c>
      <c r="F6" s="5" t="inlineStr">
        <is>
          <t>HI paid</t>
        </is>
      </c>
      <c r="G6" s="5" t="inlineStr">
        <is>
          <t>Total paid</t>
        </is>
      </c>
      <c r="H6" s="5" t="inlineStr">
        <is>
          <t>Other assistance</t>
        </is>
      </c>
      <c r="I6" s="5" t="inlineStr">
        <is>
          <t>Amount claimed</t>
        </is>
      </c>
      <c r="J6" s="5" t="inlineStr">
        <is>
          <t>Computed cap</t>
        </is>
      </c>
      <c r="K6" s="5" t="inlineStr">
        <is>
          <t>Admissible</t>
        </is>
      </c>
      <c r="L6" s="5" t="inlineStr">
        <is>
          <t>Invoice?</t>
        </is>
      </c>
      <c r="M6" s="5" t="inlineStr">
        <is>
          <t>Pay proof?</t>
        </is>
      </c>
      <c r="N6" s="5" t="inlineStr">
        <is>
          <t>Enrolment?</t>
        </is>
      </c>
      <c r="O6" s="5" t="inlineStr">
        <is>
          <t>FX given?</t>
        </is>
      </c>
      <c r="P6" s="5" t="inlineStr">
        <is>
          <t>Row status</t>
        </is>
      </c>
    </row>
    <row r="7">
      <c r="A7" s="5" t="n">
        <v>1</v>
      </c>
      <c r="B7" s="6">
        <f>IF(C7="","",NM_ID)</f>
        <v/>
      </c>
      <c r="C7" s="10" t="n"/>
      <c r="D7" s="10" t="n"/>
      <c r="E7" s="10" t="n"/>
      <c r="F7" s="10" t="n"/>
      <c r="G7" s="6">
        <f>IF(C7="","",N(E7)+N(F7))</f>
        <v/>
      </c>
      <c r="H7" s="10" t="n"/>
      <c r="I7" s="10" t="n"/>
      <c r="J7" s="6">
        <f>IF(C7="","",MAX(0,IF(NM_COMP="International",NM_RATE*(N(E7)+N(F7)),NM_RATE*N(E7))-N(H7)))</f>
        <v/>
      </c>
      <c r="K7" s="6">
        <f>IF(C7="","",MIN(N(I7),J7))</f>
        <v/>
      </c>
      <c r="L7" s="10" t="n"/>
      <c r="M7" s="10" t="n"/>
      <c r="N7" s="10" t="n"/>
      <c r="O7" s="10" t="n"/>
      <c r="P7" s="6">
        <f>IF(C7="","—",IF(09_AnnexVIII_Withdraw!C12&lt;&gt;"","ERROR — withdrawal recorded; no new claim",IF(N(I7)&gt;N(J7)+0.005,"ERROR — claimed exceeds computed cap",IF(AND(NM_COMP="Domestic",N(F7)&gt;0),"ERROR — HI claimed though Domestic",IF(OR(L7&lt;&gt;"Yes",M7&lt;&gt;"Yes",N7&lt;&gt;"Yes"),"ERROR — demand / payment / enrolment proof not Yes",IF(NM_PAY&lt;&gt;"DBT reimbursement","WARNING — Master mode is not DBT","OK"))))))</f>
        <v/>
      </c>
    </row>
    <row r="8">
      <c r="A8" s="5" t="n">
        <v>2</v>
      </c>
      <c r="B8" s="6">
        <f>IF(C8="","",NM_ID)</f>
        <v/>
      </c>
      <c r="C8" s="10" t="n"/>
      <c r="D8" s="10" t="n"/>
      <c r="E8" s="10" t="n"/>
      <c r="F8" s="10" t="n"/>
      <c r="G8" s="6">
        <f>IF(C8="","",N(E8)+N(F8))</f>
        <v/>
      </c>
      <c r="H8" s="10" t="n"/>
      <c r="I8" s="10" t="n"/>
      <c r="J8" s="6">
        <f>IF(C8="","",MAX(0,IF(NM_COMP="International",NM_RATE*(N(E8)+N(F8)),NM_RATE*N(E8))-N(H8)))</f>
        <v/>
      </c>
      <c r="K8" s="6">
        <f>IF(C8="","",MIN(N(I8),J8))</f>
        <v/>
      </c>
      <c r="L8" s="10" t="n"/>
      <c r="M8" s="10" t="n"/>
      <c r="N8" s="10" t="n"/>
      <c r="O8" s="10" t="n"/>
      <c r="P8" s="6">
        <f>IF(C8="","—",IF(09_AnnexVIII_Withdraw!C12&lt;&gt;"","ERROR — withdrawal recorded; no new claim",IF(N(I8)&gt;N(J8)+0.005,"ERROR — claimed exceeds computed cap",IF(AND(NM_COMP="Domestic",N(F8)&gt;0),"ERROR — HI claimed though Domestic",IF(OR(L8&lt;&gt;"Yes",M8&lt;&gt;"Yes",N8&lt;&gt;"Yes"),"ERROR — demand / payment / enrolment proof not Yes",IF(NM_PAY&lt;&gt;"DBT reimbursement","WARNING — Master mode is not DBT","OK"))))))</f>
        <v/>
      </c>
    </row>
    <row r="9">
      <c r="A9" s="5" t="n">
        <v>3</v>
      </c>
      <c r="B9" s="6">
        <f>IF(C9="","",NM_ID)</f>
        <v/>
      </c>
      <c r="C9" s="10" t="n"/>
      <c r="D9" s="10" t="n"/>
      <c r="E9" s="10" t="n"/>
      <c r="F9" s="10" t="n"/>
      <c r="G9" s="6">
        <f>IF(C9="","",N(E9)+N(F9))</f>
        <v/>
      </c>
      <c r="H9" s="10" t="n"/>
      <c r="I9" s="10" t="n"/>
      <c r="J9" s="6">
        <f>IF(C9="","",MAX(0,IF(NM_COMP="International",NM_RATE*(N(E9)+N(F9)),NM_RATE*N(E9))-N(H9)))</f>
        <v/>
      </c>
      <c r="K9" s="6">
        <f>IF(C9="","",MIN(N(I9),J9))</f>
        <v/>
      </c>
      <c r="L9" s="10" t="n"/>
      <c r="M9" s="10" t="n"/>
      <c r="N9" s="10" t="n"/>
      <c r="O9" s="10" t="n"/>
      <c r="P9" s="6">
        <f>IF(C9="","—",IF(09_AnnexVIII_Withdraw!C12&lt;&gt;"","ERROR — withdrawal recorded; no new claim",IF(N(I9)&gt;N(J9)+0.005,"ERROR — claimed exceeds computed cap",IF(AND(NM_COMP="Domestic",N(F9)&gt;0),"ERROR — HI claimed though Domestic",IF(OR(L9&lt;&gt;"Yes",M9&lt;&gt;"Yes",N9&lt;&gt;"Yes"),"ERROR — demand / payment / enrolment proof not Yes",IF(NM_PAY&lt;&gt;"DBT reimbursement","WARNING — Master mode is not DBT","OK"))))))</f>
        <v/>
      </c>
    </row>
    <row r="10">
      <c r="A10" s="5" t="n">
        <v>4</v>
      </c>
      <c r="B10" s="6">
        <f>IF(C10="","",NM_ID)</f>
        <v/>
      </c>
      <c r="C10" s="10" t="n"/>
      <c r="D10" s="10" t="n"/>
      <c r="E10" s="10" t="n"/>
      <c r="F10" s="10" t="n"/>
      <c r="G10" s="6">
        <f>IF(C10="","",N(E10)+N(F10))</f>
        <v/>
      </c>
      <c r="H10" s="10" t="n"/>
      <c r="I10" s="10" t="n"/>
      <c r="J10" s="6">
        <f>IF(C10="","",MAX(0,IF(NM_COMP="International",NM_RATE*(N(E10)+N(F10)),NM_RATE*N(E10))-N(H10)))</f>
        <v/>
      </c>
      <c r="K10" s="6">
        <f>IF(C10="","",MIN(N(I10),J10))</f>
        <v/>
      </c>
      <c r="L10" s="10" t="n"/>
      <c r="M10" s="10" t="n"/>
      <c r="N10" s="10" t="n"/>
      <c r="O10" s="10" t="n"/>
      <c r="P10" s="6">
        <f>IF(C10="","—",IF(09_AnnexVIII_Withdraw!C12&lt;&gt;"","ERROR — withdrawal recorded; no new claim",IF(N(I10)&gt;N(J10)+0.005,"ERROR — claimed exceeds computed cap",IF(AND(NM_COMP="Domestic",N(F10)&gt;0),"ERROR — HI claimed though Domestic",IF(OR(L10&lt;&gt;"Yes",M10&lt;&gt;"Yes",N10&lt;&gt;"Yes"),"ERROR — demand / payment / enrolment proof not Yes",IF(NM_PAY&lt;&gt;"DBT reimbursement","WARNING — Master mode is not DBT","OK"))))))</f>
        <v/>
      </c>
    </row>
    <row r="11">
      <c r="A11" s="5" t="n">
        <v>5</v>
      </c>
      <c r="B11" s="6">
        <f>IF(C11="","",NM_ID)</f>
        <v/>
      </c>
      <c r="C11" s="10" t="n"/>
      <c r="D11" s="10" t="n"/>
      <c r="E11" s="10" t="n"/>
      <c r="F11" s="10" t="n"/>
      <c r="G11" s="6">
        <f>IF(C11="","",N(E11)+N(F11))</f>
        <v/>
      </c>
      <c r="H11" s="10" t="n"/>
      <c r="I11" s="10" t="n"/>
      <c r="J11" s="6">
        <f>IF(C11="","",MAX(0,IF(NM_COMP="International",NM_RATE*(N(E11)+N(F11)),NM_RATE*N(E11))-N(H11)))</f>
        <v/>
      </c>
      <c r="K11" s="6">
        <f>IF(C11="","",MIN(N(I11),J11))</f>
        <v/>
      </c>
      <c r="L11" s="10" t="n"/>
      <c r="M11" s="10" t="n"/>
      <c r="N11" s="10" t="n"/>
      <c r="O11" s="10" t="n"/>
      <c r="P11" s="6">
        <f>IF(C11="","—",IF(09_AnnexVIII_Withdraw!C12&lt;&gt;"","ERROR — withdrawal recorded; no new claim",IF(N(I11)&gt;N(J11)+0.005,"ERROR — claimed exceeds computed cap",IF(AND(NM_COMP="Domestic",N(F11)&gt;0),"ERROR — HI claimed though Domestic",IF(OR(L11&lt;&gt;"Yes",M11&lt;&gt;"Yes",N11&lt;&gt;"Yes"),"ERROR — demand / payment / enrolment proof not Yes",IF(NM_PAY&lt;&gt;"DBT reimbursement","WARNING — Master mode is not DBT","OK"))))))</f>
        <v/>
      </c>
    </row>
    <row r="12">
      <c r="A12" s="5" t="n">
        <v>6</v>
      </c>
      <c r="B12" s="6">
        <f>IF(C12="","",NM_ID)</f>
        <v/>
      </c>
      <c r="C12" s="10" t="n"/>
      <c r="D12" s="10" t="n"/>
      <c r="E12" s="10" t="n"/>
      <c r="F12" s="10" t="n"/>
      <c r="G12" s="6">
        <f>IF(C12="","",N(E12)+N(F12))</f>
        <v/>
      </c>
      <c r="H12" s="10" t="n"/>
      <c r="I12" s="10" t="n"/>
      <c r="J12" s="6">
        <f>IF(C12="","",MAX(0,IF(NM_COMP="International",NM_RATE*(N(E12)+N(F12)),NM_RATE*N(E12))-N(H12)))</f>
        <v/>
      </c>
      <c r="K12" s="6">
        <f>IF(C12="","",MIN(N(I12),J12))</f>
        <v/>
      </c>
      <c r="L12" s="10" t="n"/>
      <c r="M12" s="10" t="n"/>
      <c r="N12" s="10" t="n"/>
      <c r="O12" s="10" t="n"/>
      <c r="P12" s="6">
        <f>IF(C12="","—",IF(09_AnnexVIII_Withdraw!C12&lt;&gt;"","ERROR — withdrawal recorded; no new claim",IF(N(I12)&gt;N(J12)+0.005,"ERROR — claimed exceeds computed cap",IF(AND(NM_COMP="Domestic",N(F12)&gt;0),"ERROR — HI claimed though Domestic",IF(OR(L12&lt;&gt;"Yes",M12&lt;&gt;"Yes",N12&lt;&gt;"Yes"),"ERROR — demand / payment / enrolment proof not Yes",IF(NM_PAY&lt;&gt;"DBT reimbursement","WARNING — Master mode is not DBT","OK"))))))</f>
        <v/>
      </c>
    </row>
    <row r="13">
      <c r="A13" s="5" t="n">
        <v>7</v>
      </c>
      <c r="B13" s="6">
        <f>IF(C13="","",NM_ID)</f>
        <v/>
      </c>
      <c r="C13" s="10" t="n"/>
      <c r="D13" s="10" t="n"/>
      <c r="E13" s="10" t="n"/>
      <c r="F13" s="10" t="n"/>
      <c r="G13" s="6">
        <f>IF(C13="","",N(E13)+N(F13))</f>
        <v/>
      </c>
      <c r="H13" s="10" t="n"/>
      <c r="I13" s="10" t="n"/>
      <c r="J13" s="6">
        <f>IF(C13="","",MAX(0,IF(NM_COMP="International",NM_RATE*(N(E13)+N(F13)),NM_RATE*N(E13))-N(H13)))</f>
        <v/>
      </c>
      <c r="K13" s="6">
        <f>IF(C13="","",MIN(N(I13),J13))</f>
        <v/>
      </c>
      <c r="L13" s="10" t="n"/>
      <c r="M13" s="10" t="n"/>
      <c r="N13" s="10" t="n"/>
      <c r="O13" s="10" t="n"/>
      <c r="P13" s="6">
        <f>IF(C13="","—",IF(09_AnnexVIII_Withdraw!C12&lt;&gt;"","ERROR — withdrawal recorded; no new claim",IF(N(I13)&gt;N(J13)+0.005,"ERROR — claimed exceeds computed cap",IF(AND(NM_COMP="Domestic",N(F13)&gt;0),"ERROR — HI claimed though Domestic",IF(OR(L13&lt;&gt;"Yes",M13&lt;&gt;"Yes",N13&lt;&gt;"Yes"),"ERROR — demand / payment / enrolment proof not Yes",IF(NM_PAY&lt;&gt;"DBT reimbursement","WARNING — Master mode is not DBT","OK"))))))</f>
        <v/>
      </c>
    </row>
    <row r="14">
      <c r="A14" s="5" t="n">
        <v>8</v>
      </c>
      <c r="B14" s="6">
        <f>IF(C14="","",NM_ID)</f>
        <v/>
      </c>
      <c r="C14" s="10" t="n"/>
      <c r="D14" s="10" t="n"/>
      <c r="E14" s="10" t="n"/>
      <c r="F14" s="10" t="n"/>
      <c r="G14" s="6">
        <f>IF(C14="","",N(E14)+N(F14))</f>
        <v/>
      </c>
      <c r="H14" s="10" t="n"/>
      <c r="I14" s="10" t="n"/>
      <c r="J14" s="6">
        <f>IF(C14="","",MAX(0,IF(NM_COMP="International",NM_RATE*(N(E14)+N(F14)),NM_RATE*N(E14))-N(H14)))</f>
        <v/>
      </c>
      <c r="K14" s="6">
        <f>IF(C14="","",MIN(N(I14),J14))</f>
        <v/>
      </c>
      <c r="L14" s="10" t="n"/>
      <c r="M14" s="10" t="n"/>
      <c r="N14" s="10" t="n"/>
      <c r="O14" s="10" t="n"/>
      <c r="P14" s="6">
        <f>IF(C14="","—",IF(09_AnnexVIII_Withdraw!C12&lt;&gt;"","ERROR — withdrawal recorded; no new claim",IF(N(I14)&gt;N(J14)+0.005,"ERROR — claimed exceeds computed cap",IF(AND(NM_COMP="Domestic",N(F14)&gt;0),"ERROR — HI claimed though Domestic",IF(OR(L14&lt;&gt;"Yes",M14&lt;&gt;"Yes",N14&lt;&gt;"Yes"),"ERROR — demand / payment / enrolment proof not Yes",IF(NM_PAY&lt;&gt;"DBT reimbursement","WARNING — Master mode is not DBT","OK"))))))</f>
        <v/>
      </c>
    </row>
    <row r="15">
      <c r="A15" s="5" t="n">
        <v>9</v>
      </c>
      <c r="B15" s="6">
        <f>IF(C15="","",NM_ID)</f>
        <v/>
      </c>
      <c r="C15" s="10" t="n"/>
      <c r="D15" s="10" t="n"/>
      <c r="E15" s="10" t="n"/>
      <c r="F15" s="10" t="n"/>
      <c r="G15" s="6">
        <f>IF(C15="","",N(E15)+N(F15))</f>
        <v/>
      </c>
      <c r="H15" s="10" t="n"/>
      <c r="I15" s="10" t="n"/>
      <c r="J15" s="6">
        <f>IF(C15="","",MAX(0,IF(NM_COMP="International",NM_RATE*(N(E15)+N(F15)),NM_RATE*N(E15))-N(H15)))</f>
        <v/>
      </c>
      <c r="K15" s="6">
        <f>IF(C15="","",MIN(N(I15),J15))</f>
        <v/>
      </c>
      <c r="L15" s="10" t="n"/>
      <c r="M15" s="10" t="n"/>
      <c r="N15" s="10" t="n"/>
      <c r="O15" s="10" t="n"/>
      <c r="P15" s="6">
        <f>IF(C15="","—",IF(09_AnnexVIII_Withdraw!C12&lt;&gt;"","ERROR — withdrawal recorded; no new claim",IF(N(I15)&gt;N(J15)+0.005,"ERROR — claimed exceeds computed cap",IF(AND(NM_COMP="Domestic",N(F15)&gt;0),"ERROR — HI claimed though Domestic",IF(OR(L15&lt;&gt;"Yes",M15&lt;&gt;"Yes",N15&lt;&gt;"Yes"),"ERROR — demand / payment / enrolment proof not Yes",IF(NM_PAY&lt;&gt;"DBT reimbursement","WARNING — Master mode is not DBT","OK"))))))</f>
        <v/>
      </c>
    </row>
    <row r="16">
      <c r="A16" s="5" t="n">
        <v>10</v>
      </c>
      <c r="B16" s="6">
        <f>IF(C16="","",NM_ID)</f>
        <v/>
      </c>
      <c r="C16" s="10" t="n"/>
      <c r="D16" s="10" t="n"/>
      <c r="E16" s="10" t="n"/>
      <c r="F16" s="10" t="n"/>
      <c r="G16" s="6">
        <f>IF(C16="","",N(E16)+N(F16))</f>
        <v/>
      </c>
      <c r="H16" s="10" t="n"/>
      <c r="I16" s="10" t="n"/>
      <c r="J16" s="6">
        <f>IF(C16="","",MAX(0,IF(NM_COMP="International",NM_RATE*(N(E16)+N(F16)),NM_RATE*N(E16))-N(H16)))</f>
        <v/>
      </c>
      <c r="K16" s="6">
        <f>IF(C16="","",MIN(N(I16),J16))</f>
        <v/>
      </c>
      <c r="L16" s="10" t="n"/>
      <c r="M16" s="10" t="n"/>
      <c r="N16" s="10" t="n"/>
      <c r="O16" s="10" t="n"/>
      <c r="P16" s="6">
        <f>IF(C16="","—",IF(09_AnnexVIII_Withdraw!C12&lt;&gt;"","ERROR — withdrawal recorded; no new claim",IF(N(I16)&gt;N(J16)+0.005,"ERROR — claimed exceeds computed cap",IF(AND(NM_COMP="Domestic",N(F16)&gt;0),"ERROR — HI claimed though Domestic",IF(OR(L16&lt;&gt;"Yes",M16&lt;&gt;"Yes",N16&lt;&gt;"Yes"),"ERROR — demand / payment / enrolment proof not Yes",IF(NM_PAY&lt;&gt;"DBT reimbursement","WARNING — Master mode is not DBT","OK"))))))</f>
        <v/>
      </c>
    </row>
    <row r="17">
      <c r="A17" s="5" t="n">
        <v>11</v>
      </c>
      <c r="B17" s="6">
        <f>IF(C17="","",NM_ID)</f>
        <v/>
      </c>
      <c r="C17" s="10" t="n"/>
      <c r="D17" s="10" t="n"/>
      <c r="E17" s="10" t="n"/>
      <c r="F17" s="10" t="n"/>
      <c r="G17" s="6">
        <f>IF(C17="","",N(E17)+N(F17))</f>
        <v/>
      </c>
      <c r="H17" s="10" t="n"/>
      <c r="I17" s="10" t="n"/>
      <c r="J17" s="6">
        <f>IF(C17="","",MAX(0,IF(NM_COMP="International",NM_RATE*(N(E17)+N(F17)),NM_RATE*N(E17))-N(H17)))</f>
        <v/>
      </c>
      <c r="K17" s="6">
        <f>IF(C17="","",MIN(N(I17),J17))</f>
        <v/>
      </c>
      <c r="L17" s="10" t="n"/>
      <c r="M17" s="10" t="n"/>
      <c r="N17" s="10" t="n"/>
      <c r="O17" s="10" t="n"/>
      <c r="P17" s="6">
        <f>IF(C17="","—",IF(09_AnnexVIII_Withdraw!C12&lt;&gt;"","ERROR — withdrawal recorded; no new claim",IF(N(I17)&gt;N(J17)+0.005,"ERROR — claimed exceeds computed cap",IF(AND(NM_COMP="Domestic",N(F17)&gt;0),"ERROR — HI claimed though Domestic",IF(OR(L17&lt;&gt;"Yes",M17&lt;&gt;"Yes",N17&lt;&gt;"Yes"),"ERROR — demand / payment / enrolment proof not Yes",IF(NM_PAY&lt;&gt;"DBT reimbursement","WARNING — Master mode is not DBT","OK"))))))</f>
        <v/>
      </c>
    </row>
    <row r="18">
      <c r="A18" s="5" t="n">
        <v>12</v>
      </c>
      <c r="B18" s="6">
        <f>IF(C18="","",NM_ID)</f>
        <v/>
      </c>
      <c r="C18" s="10" t="n"/>
      <c r="D18" s="10" t="n"/>
      <c r="E18" s="10" t="n"/>
      <c r="F18" s="10" t="n"/>
      <c r="G18" s="6">
        <f>IF(C18="","",N(E18)+N(F18))</f>
        <v/>
      </c>
      <c r="H18" s="10" t="n"/>
      <c r="I18" s="10" t="n"/>
      <c r="J18" s="6">
        <f>IF(C18="","",MAX(0,IF(NM_COMP="International",NM_RATE*(N(E18)+N(F18)),NM_RATE*N(E18))-N(H18)))</f>
        <v/>
      </c>
      <c r="K18" s="6">
        <f>IF(C18="","",MIN(N(I18),J18))</f>
        <v/>
      </c>
      <c r="L18" s="10" t="n"/>
      <c r="M18" s="10" t="n"/>
      <c r="N18" s="10" t="n"/>
      <c r="O18" s="10" t="n"/>
      <c r="P18" s="6">
        <f>IF(C18="","—",IF(09_AnnexVIII_Withdraw!C12&lt;&gt;"","ERROR — withdrawal recorded; no new claim",IF(N(I18)&gt;N(J18)+0.005,"ERROR — claimed exceeds computed cap",IF(AND(NM_COMP="Domestic",N(F18)&gt;0),"ERROR — HI claimed though Domestic",IF(OR(L18&lt;&gt;"Yes",M18&lt;&gt;"Yes",N18&lt;&gt;"Yes"),"ERROR — demand / payment / enrolment proof not Yes",IF(NM_PAY&lt;&gt;"DBT reimbursement","WARNING — Master mode is not DBT","OK"))))))</f>
        <v/>
      </c>
    </row>
    <row r="20">
      <c r="A20" s="5" t="inlineStr">
        <is>
          <t>Claimant declaration (covers all rows)</t>
        </is>
      </c>
    </row>
    <row r="21">
      <c r="A21" s="5" t="inlineStr">
        <is>
          <t>I certify that the expenditure claimed was incurred for the approved programme, documents are genuine, admissible amount will be determined after adjustment of other assistance, and I shall report any subsequent refund or excess.</t>
        </is>
      </c>
    </row>
    <row r="22"/>
    <row r="23">
      <c r="B23" s="5" t="inlineStr">
        <is>
          <t>Declaration accepted?</t>
        </is>
      </c>
      <c r="D23" s="5" t="n"/>
    </row>
    <row r="24">
      <c r="B24" s="5" t="inlineStr">
        <is>
          <t>Place</t>
        </is>
      </c>
      <c r="D24" s="5" t="n"/>
    </row>
    <row r="25">
      <c r="B25" s="5" t="inlineStr">
        <is>
          <t>Date</t>
        </is>
      </c>
      <c r="C25" s="23" t="n"/>
      <c r="D25" s="5" t="n"/>
    </row>
    <row r="27">
      <c r="B27" s="5" t="inlineStr">
        <is>
          <t>Number of claims</t>
        </is>
      </c>
      <c r="D27" s="6">
        <f>COUNTA(C7:C18)</f>
        <v/>
      </c>
    </row>
    <row r="28">
      <c r="B28" s="5" t="inlineStr">
        <is>
          <t>Sum claimed</t>
        </is>
      </c>
      <c r="D28" s="6">
        <f>SUM(I7:I18)</f>
        <v/>
      </c>
    </row>
    <row r="29">
      <c r="B29" s="5" t="inlineStr">
        <is>
          <t>Sum admissible</t>
        </is>
      </c>
      <c r="D29" s="6">
        <f>SUM(K7:K18)</f>
        <v/>
      </c>
    </row>
    <row r="30">
      <c r="B30" s="5" t="inlineStr">
        <is>
          <t>Annex-V pack status</t>
        </is>
      </c>
      <c r="D30" s="6">
        <f>IF(COUNTA(C7:C18)=0,"NO CLAIM ENTERED",IF(COUNTIF(P7:P18,"ERROR*")&gt;0,"ERRORS IN CLAIMS",IF(D23&lt;&gt;"Yes","DECLARATION PENDING","IN ORDER")))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6">
    <mergeCell ref="A1:P1"/>
    <mergeCell ref="A4:P4"/>
    <mergeCell ref="A21:L22"/>
    <mergeCell ref="A20:P20"/>
    <mergeCell ref="A3:P3"/>
    <mergeCell ref="A2:P2"/>
  </mergeCells>
  <dataValidations count="3">
    <dataValidation sqref="L7:N18" showDropDown="0" showInputMessage="0" showErrorMessage="1" allowBlank="1" errorTitle="Invalid entry" error="Select a value from the list." type="list">
      <formula1>L_YN</formula1>
    </dataValidation>
    <dataValidation sqref="O7:O18" showDropDown="0" showInputMessage="0" showErrorMessage="1" allowBlank="1" errorTitle="Invalid entry" error="Select a value from the list." type="list">
      <formula1>L_YN</formula1>
    </dataValidation>
    <dataValidation sqref="D23" showDropDown="0" showInputMessage="0" showErrorMessage="1" allowBlank="1" errorTitle="Invalid entry" error="Select a value from the list." type="list">
      <formula1>L_YN</formula1>
    </dataValidation>
  </dataValidation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36" customWidth="1" min="3" max="3"/>
    <col width="22" customWidth="1" min="4" max="4"/>
    <col width="22" customWidth="1" min="5" max="5"/>
    <col width="20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ANNEXURE-VI  •  AUTHORISATION FOR DIRECT PAYMENT TO INSTITUTION</t>
        </is>
      </c>
    </row>
    <row r="4">
      <c r="A4" s="4" t="inlineStr">
        <is>
          <t>Mandatory when preferred / approved mode is Direct institutional payment</t>
        </is>
      </c>
    </row>
    <row r="6">
      <c r="A6" s="7" t="inlineStr">
        <is>
          <t>A. Scholar and period</t>
        </is>
      </c>
    </row>
    <row r="7">
      <c r="B7" s="5" t="inlineStr">
        <is>
          <t>Scholar ID</t>
        </is>
      </c>
      <c r="C7" s="6">
        <f>NM_ID</f>
        <v/>
      </c>
    </row>
    <row r="8">
      <c r="B8" s="5" t="inlineStr">
        <is>
          <t>Application ID</t>
        </is>
      </c>
      <c r="C8" s="6">
        <f>NM_ID</f>
        <v/>
      </c>
    </row>
    <row r="9">
      <c r="B9" s="5" t="inlineStr">
        <is>
          <t>Scholar name</t>
        </is>
      </c>
      <c r="C9" s="6">
        <f>NM_NAME</f>
        <v/>
      </c>
    </row>
    <row r="10">
      <c r="B10" s="5" t="inlineStr">
        <is>
          <t>Institution</t>
        </is>
      </c>
      <c r="C10" s="6">
        <f>NM_INST</f>
        <v/>
      </c>
    </row>
    <row r="11">
      <c r="B11" s="5" t="inlineStr">
        <is>
          <t>Programme</t>
        </is>
      </c>
      <c r="C11" s="6">
        <f>NM_PROG</f>
        <v/>
      </c>
    </row>
    <row r="12">
      <c r="B12" s="9" t="inlineStr">
        <is>
          <t>Fee period *</t>
        </is>
      </c>
      <c r="C12" s="10" t="n"/>
    </row>
    <row r="13">
      <c r="B13" s="9" t="inlineStr">
        <is>
          <t>Amount proposed for direct payment *</t>
        </is>
      </c>
      <c r="C13" s="10" t="n"/>
    </row>
    <row r="14">
      <c r="B14" s="9" t="inlineStr">
        <is>
          <t>Currency *</t>
        </is>
      </c>
      <c r="C14" s="10">
        <f>NM_TCUR</f>
        <v/>
      </c>
    </row>
    <row r="15">
      <c r="B15" s="9" t="inlineStr">
        <is>
          <t>Payment due date</t>
        </is>
      </c>
      <c r="C15" s="10" t="n"/>
    </row>
    <row r="16">
      <c r="B16" s="9" t="inlineStr">
        <is>
          <t>Invoice / demand note no.</t>
        </is>
      </c>
      <c r="C16" s="10" t="n"/>
    </row>
    <row r="18">
      <c r="A18" s="7" t="inlineStr">
        <is>
          <t>B. Authorisation</t>
        </is>
      </c>
    </row>
    <row r="19">
      <c r="B19" s="5" t="inlineStr">
        <is>
          <t>I authorise the Government of West Bengal to pay the admissible scholarship directly to the institution or its authorised fee-collection agency. The amount paid shall be treated as assistance received by me and is subject to adjustment, refund, recovery and audit.</t>
        </is>
      </c>
    </row>
    <row r="20"/>
    <row r="21"/>
    <row r="22">
      <c r="B22" s="9" t="inlineStr">
        <is>
          <t>Authorisation given? *</t>
        </is>
      </c>
      <c r="C22" s="10" t="n"/>
    </row>
    <row r="24">
      <c r="A24" s="7" t="inlineStr">
        <is>
          <t>C. Institution beneficiary particulars  (Clause 6.2.2 — domestic and international)</t>
        </is>
      </c>
    </row>
    <row r="25">
      <c r="A25" s="5" t="n"/>
      <c r="B25" s="5" t="inlineStr">
        <is>
          <t>Direct payment is available for both components (cl. 6.2.2). Beneficiary name and currency are prefilled from Master — overtype the account name only if the fee account differs. Fill ONLY C1 when Domestic and ONLY C2 when International. A recorded withdrawal blocks this annexure.</t>
        </is>
      </c>
      <c r="G25" s="5" t="n"/>
      <c r="H25" s="5" t="n"/>
    </row>
    <row r="26">
      <c r="A26" s="7" t="inlineStr">
        <is>
          <t>C1. Domestic institution — IFSC credit</t>
        </is>
      </c>
    </row>
    <row r="27">
      <c r="A27" s="5" t="n"/>
      <c r="B27" s="9" t="inlineStr">
        <is>
          <t>Beneficiary / account name *</t>
        </is>
      </c>
      <c r="C27" s="10">
        <f>IF(NM_COMP="Domestic",NM_INST,"")</f>
        <v/>
      </c>
      <c r="D27" s="5" t="n"/>
      <c r="E27" s="5" t="n"/>
      <c r="F27" s="5" t="inlineStr">
        <is>
          <t>As on the fee demand / institute bank letter</t>
        </is>
      </c>
      <c r="G27" s="5" t="n"/>
      <c r="H27" s="5" t="n"/>
    </row>
    <row r="28">
      <c r="A28" s="5" t="n"/>
      <c r="B28" s="9" t="inlineStr">
        <is>
          <t>Bank name *</t>
        </is>
      </c>
      <c r="C28" s="10" t="n"/>
      <c r="D28" s="5" t="n"/>
      <c r="E28" s="5" t="n"/>
      <c r="F28" s="5" t="n"/>
      <c r="G28" s="5" t="n"/>
      <c r="H28" s="5" t="n"/>
    </row>
    <row r="29">
      <c r="A29" s="5" t="n"/>
      <c r="B29" s="9" t="inlineStr">
        <is>
          <t>Branch</t>
        </is>
      </c>
      <c r="C29" s="10" t="n"/>
      <c r="D29" s="5" t="n"/>
      <c r="E29" s="5" t="n"/>
      <c r="F29" s="5" t="n"/>
      <c r="G29" s="5" t="n"/>
      <c r="H29" s="5" t="n"/>
    </row>
    <row r="30">
      <c r="A30" s="5" t="n"/>
      <c r="B30" s="9" t="inlineStr">
        <is>
          <t>Account number *</t>
        </is>
      </c>
      <c r="C30" s="11" t="n"/>
      <c r="D30" s="5" t="n"/>
      <c r="E30" s="5" t="n"/>
      <c r="F30" s="5" t="n"/>
      <c r="G30" s="5" t="n"/>
      <c r="H30" s="5" t="n"/>
    </row>
    <row r="31">
      <c r="A31" s="5" t="n"/>
      <c r="B31" s="9" t="inlineStr">
        <is>
          <t>IFSC *</t>
        </is>
      </c>
      <c r="C31" s="10" t="n"/>
      <c r="D31" s="5" t="n"/>
      <c r="E31" s="5" t="n"/>
      <c r="F31" s="5" t="inlineStr">
        <is>
          <t>11 characters, 5th character 0</t>
        </is>
      </c>
      <c r="G31" s="5" t="n"/>
      <c r="H31" s="5" t="n"/>
    </row>
    <row r="32">
      <c r="A32" s="5" t="n"/>
      <c r="B32" s="9" t="inlineStr">
        <is>
          <t>Account type</t>
        </is>
      </c>
      <c r="C32" s="10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7" t="inlineStr">
        <is>
          <t>C2. International institution — remittance particulars</t>
        </is>
      </c>
    </row>
    <row r="35">
      <c r="A35" s="5" t="n"/>
      <c r="B35" s="9" t="inlineStr">
        <is>
          <t>Beneficiary / University name *</t>
        </is>
      </c>
      <c r="C35" s="10">
        <f>IF(NM_COMP="International",NM_INST,"")</f>
        <v/>
      </c>
      <c r="D35" s="5" t="n"/>
      <c r="E35" s="5" t="n"/>
      <c r="F35" s="5" t="n"/>
      <c r="G35" s="5" t="n"/>
      <c r="H35" s="5" t="n"/>
    </row>
    <row r="36">
      <c r="A36" s="5" t="n"/>
      <c r="B36" s="9" t="inlineStr">
        <is>
          <t>Bank name *</t>
        </is>
      </c>
      <c r="C36" s="10" t="n"/>
      <c r="D36" s="5" t="n"/>
      <c r="E36" s="5" t="n"/>
      <c r="F36" s="5" t="n"/>
      <c r="G36" s="5" t="n"/>
      <c r="H36" s="5" t="n"/>
    </row>
    <row r="37">
      <c r="A37" s="5" t="n"/>
      <c r="B37" s="9" t="inlineStr">
        <is>
          <t>Account No. / IBAN *</t>
        </is>
      </c>
      <c r="C37" s="11" t="n"/>
      <c r="D37" s="5" t="n"/>
      <c r="E37" s="5" t="n"/>
      <c r="F37" s="5" t="n"/>
      <c r="G37" s="5" t="n"/>
      <c r="H37" s="5" t="n"/>
    </row>
    <row r="38">
      <c r="A38" s="5" t="n"/>
      <c r="B38" s="9" t="inlineStr">
        <is>
          <t>SWIFT / BIC *</t>
        </is>
      </c>
      <c r="C38" s="10" t="n"/>
      <c r="D38" s="5" t="n"/>
      <c r="E38" s="5" t="n"/>
      <c r="F38" s="5" t="n"/>
      <c r="G38" s="5" t="n"/>
      <c r="H38" s="5" t="n"/>
    </row>
    <row r="39">
      <c r="A39" s="5" t="n"/>
      <c r="B39" s="9" t="inlineStr">
        <is>
          <t>Authorised platform / agency</t>
        </is>
      </c>
      <c r="C39" s="10" t="n"/>
      <c r="D39" s="5" t="n"/>
      <c r="E39" s="5" t="n"/>
      <c r="F39" s="5" t="inlineStr">
        <is>
          <t>Flywire, Convera, TransferMate, GlobalPay, other</t>
        </is>
      </c>
      <c r="G39" s="5" t="n"/>
      <c r="H39" s="5" t="n"/>
    </row>
    <row r="40">
      <c r="A40" s="5" t="n"/>
      <c r="B40" s="9" t="inlineStr">
        <is>
          <t>RBI / AD-Bank declaration furnished?</t>
        </is>
      </c>
      <c r="C40" s="10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7" t="inlineStr">
        <is>
          <t>C3. Declarations (tick Yes for the applicable route)</t>
        </is>
      </c>
    </row>
    <row r="43">
      <c r="A43" s="5" t="n"/>
      <c r="B43" s="9" t="inlineStr">
        <is>
          <t>Domestic: beneficiary details are complete and accurate</t>
        </is>
      </c>
      <c r="C43" s="10" t="n"/>
      <c r="D43" s="5" t="n"/>
      <c r="E43" s="5" t="n"/>
      <c r="F43" s="5" t="n"/>
      <c r="G43" s="5" t="n"/>
      <c r="H43" s="5" t="n"/>
    </row>
    <row r="44">
      <c r="A44" s="5" t="n"/>
      <c r="B44" s="9" t="inlineStr">
        <is>
          <t>International: beneficiary details are complete and accurate</t>
        </is>
      </c>
      <c r="C44" s="10" t="n"/>
      <c r="D44" s="5" t="n"/>
      <c r="E44" s="5" t="n"/>
      <c r="F44" s="5" t="n"/>
      <c r="G44" s="5" t="n"/>
      <c r="H44" s="5" t="n"/>
    </row>
    <row r="45">
      <c r="A45" s="5" t="n"/>
      <c r="B45" s="9" t="inlineStr">
        <is>
          <t>International: I will provide any AD Bank / RBI declaration required</t>
        </is>
      </c>
      <c r="C45" s="10" t="n"/>
      <c r="D45" s="5" t="n"/>
      <c r="E45" s="5" t="n"/>
      <c r="F45" s="5" t="n"/>
      <c r="G45" s="5" t="n"/>
      <c r="H45" s="5" t="n"/>
    </row>
    <row r="46">
      <c r="A46" s="5" t="n"/>
      <c r="B46" s="9" t="inlineStr">
        <is>
          <t>International: FX and remittance charges follow Scheme / financial norms</t>
        </is>
      </c>
      <c r="C46" s="10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7" t="inlineStr">
        <is>
          <t>D. Place and date</t>
        </is>
      </c>
    </row>
    <row r="49">
      <c r="A49" s="5" t="n"/>
      <c r="B49" s="9" t="inlineStr">
        <is>
          <t>Place</t>
        </is>
      </c>
      <c r="C49" s="10" t="n"/>
      <c r="D49" s="5" t="n"/>
      <c r="E49" s="5" t="n"/>
      <c r="F49" s="5" t="n"/>
      <c r="G49" s="5" t="n"/>
      <c r="H49" s="5" t="n"/>
    </row>
    <row r="50">
      <c r="A50" s="5" t="n"/>
      <c r="B50" s="9" t="inlineStr">
        <is>
          <t>Date</t>
        </is>
      </c>
      <c r="C50" s="20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7" t="inlineStr">
        <is>
          <t>E. System checks</t>
        </is>
      </c>
    </row>
    <row r="53">
      <c r="A53" s="5" t="n"/>
      <c r="B53" s="5" t="inlineStr">
        <is>
          <t>Annex-VI status</t>
        </is>
      </c>
      <c r="C53" s="6">
        <f>IF(NM_PAY&lt;&gt;"Direct institutional payment","NA — Master mode is not Direct payment",IF(09_AnnexVIII_Withdraw!C12&lt;&gt;"","ERROR — withdrawal recorded; direct pay not accepted",IF(OR(C12="",C13="",C14="",C22&lt;&gt;"Yes"),"ERROR — period / amount / currency / authorisation incomplete",IF(N(C13)&gt;N(NM_NET)+0.005,"ERROR — proposed amount exceeds computed net admissible",IF(AND(NM_COMP="Domestic",OR(C35&lt;&gt;"",C36&lt;&gt;"",C37&lt;&gt;"",C38&lt;&gt;"",C39&lt;&gt;"",C40&lt;&gt;"",C44="Yes",C45="Yes",C46="Yes")),"ERROR — Domestic scholar cannot use the International remittance block (C2)",IF(AND(NM_COMP="International",OR(C27&lt;&gt;"",C28&lt;&gt;"",C29&lt;&gt;"",C30&lt;&gt;"",C31&lt;&gt;"",C32&lt;&gt;"",C43="Yes")),"ERROR — International scholar cannot use the Domestic IFSC block (C1)",IF(AND(NM_COMP="Domestic",OR(C27="",C28="",C30="",C31="",C43&lt;&gt;"Yes")),"ERROR — domestic beneficiary / IFSC / declaration incomplete",IF(AND(NM_COMP="International",OR(C35="",C36="",C37="",C38="")),"ERROR — foreign beneficiary particulars incomplete",IF(AND(NM_COMP="International",OR(C44&lt;&gt;"Yes",C45&lt;&gt;"Yes",C46&lt;&gt;"Yes")),"ERROR — foreign declarations not accepted","IN ORDER")))))))))</f>
        <v/>
      </c>
      <c r="G53" s="5" t="n"/>
      <c r="H53" s="5" t="n"/>
    </row>
    <row r="54">
      <c r="A54" s="5" t="n"/>
      <c r="B54" s="5" t="inlineStr">
        <is>
          <t>Variance vs computed net admissible</t>
        </is>
      </c>
      <c r="C54" s="6">
        <f>IF(C13="","",N(C13)-N(NM_NET))</f>
        <v/>
      </c>
      <c r="D54" s="5" t="n"/>
      <c r="E54" s="5" t="n"/>
      <c r="F54" s="5" t="n"/>
      <c r="G54" s="5" t="n"/>
      <c r="H54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5">
    <mergeCell ref="A18:H18"/>
    <mergeCell ref="A4:H4"/>
    <mergeCell ref="A48:H48"/>
    <mergeCell ref="A26:H26"/>
    <mergeCell ref="A3:H3"/>
    <mergeCell ref="C53:F53"/>
    <mergeCell ref="A24:H24"/>
    <mergeCell ref="A2:H2"/>
    <mergeCell ref="B25:F25"/>
    <mergeCell ref="A52:H52"/>
    <mergeCell ref="A42:H42"/>
    <mergeCell ref="B19:F21"/>
    <mergeCell ref="A1:H1"/>
    <mergeCell ref="A6:H6"/>
    <mergeCell ref="A34:H34"/>
  </mergeCells>
  <dataValidations count="4">
    <dataValidation sqref="C14" showDropDown="0" showInputMessage="0" showErrorMessage="1" allowBlank="1" errorTitle="Invalid entry" error="Select a value from the list." type="list">
      <formula1>L_Cur</formula1>
    </dataValidation>
    <dataValidation sqref="C22" showDropDown="0" showInputMessage="0" showErrorMessage="1" allowBlank="1" errorTitle="Invalid entry" error="Select a value from the list." type="list">
      <formula1>L_YN</formula1>
    </dataValidation>
    <dataValidation sqref="C40 C43 C44 C45 C46" showDropDown="0" showInputMessage="0" showErrorMessage="1" allowBlank="1" errorTitle="Invalid entry" error="Select a value from the list." type="list">
      <formula1>L_YN</formula1>
    </dataValidation>
    <dataValidation sqref="C32" showDropDown="0" showInputMessage="0" showErrorMessage="1" allowBlank="1" errorTitle="Invalid entry" error="Select a value from the list." type="list">
      <formula1>L_AcType</formula1>
    </dataValidation>
  </dataValidation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42" customWidth="1" min="4" max="4"/>
    <col width="16" customWidth="1" min="5" max="5"/>
    <col width="14" customWidth="1" min="6" max="6"/>
    <col width="24" customWidth="1" min="7" max="7"/>
    <col width="24" customWidth="1" min="8" max="8"/>
    <col width="16" customWidth="1" min="9" max="9"/>
    <col width="32" customWidth="1" min="10" max="10"/>
    <col width="16" customWidth="1" min="11" max="11"/>
    <col width="36" customWidth="1" min="12" max="12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ANNEXURE-VII  •  DEFERRAL / LEAVE OF ABSENCE / CHANGE OF INSTITUTION OR PROGRAMME</t>
        </is>
      </c>
    </row>
    <row r="4">
      <c r="A4" s="4" t="inlineStr">
        <is>
          <t>Unauthorised change of institution or programme renders the scholar ineligible. For a change of institution: set New inst. country / State/UT in row 5, then pick the new name from the same eligible list as the Master.</t>
        </is>
      </c>
    </row>
    <row r="5">
      <c r="A5" s="5" t="inlineStr">
        <is>
          <t>Current (Master)</t>
        </is>
      </c>
      <c r="D5" s="6">
        <f>NM_INST&amp;"  |  "&amp;NM_PROG&amp;"  |  "&amp;TEXT(NM_END,"dd-mmm-yyyy")</f>
        <v/>
      </c>
      <c r="G5" s="18" t="inlineStr">
        <is>
          <t>New inst. country</t>
        </is>
      </c>
      <c r="H5" s="10" t="n"/>
      <c r="I5" s="18" t="inlineStr">
        <is>
          <t>New inst. State/UT</t>
        </is>
      </c>
      <c r="J5" s="10" t="n"/>
    </row>
    <row r="6">
      <c r="A6" s="5" t="inlineStr">
        <is>
          <t>Sl.</t>
        </is>
      </c>
      <c r="B6" s="5" t="inlineStr">
        <is>
          <t>Scholar ID</t>
        </is>
      </c>
      <c r="C6" s="5" t="inlineStr">
        <is>
          <t>Application ID</t>
        </is>
      </c>
      <c r="D6" s="5" t="inlineStr">
        <is>
          <t>Nature of request *</t>
        </is>
      </c>
      <c r="E6" s="5" t="inlineStr">
        <is>
          <t>Effective date</t>
        </is>
      </c>
      <c r="F6" s="5" t="inlineStr">
        <is>
          <t>End date</t>
        </is>
      </c>
      <c r="G6" s="5" t="inlineStr">
        <is>
          <t>New institution</t>
        </is>
      </c>
      <c r="H6" s="5" t="inlineStr">
        <is>
          <t>New programme</t>
        </is>
      </c>
      <c r="I6" s="5" t="inlineStr">
        <is>
          <t>Revised completion</t>
        </is>
      </c>
      <c r="J6" s="5" t="inlineStr">
        <is>
          <t>Reason</t>
        </is>
      </c>
      <c r="K6" s="5" t="inlineStr">
        <is>
          <t>Inst. letter attached?</t>
        </is>
      </c>
      <c r="L6" s="5" t="inlineStr">
        <is>
          <t>Row status</t>
        </is>
      </c>
    </row>
    <row r="7">
      <c r="A7" s="5" t="n">
        <v>1</v>
      </c>
      <c r="B7" s="6">
        <f>IF(D7="","",NM_ID)</f>
        <v/>
      </c>
      <c r="C7" s="6">
        <f>IF(D7="","",NM_ID)</f>
        <v/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6">
        <f>IF(D7="","—",IF(E7="","ERROR — effective date missing",IF(AND(OR(D7="Change of institution (Clause 4.6)",D7="Change of programme (Clause 4.6)"),AND(G7="",H7="")),"ERROR — new institution / programme required",IF(AND(D7="Change of institution (Clause 4.6)",G7&lt;&gt;"",COUNTIF('98_Institutions'!$D$2:$D$400,G7)=0),"ERROR — new institution not on the eligible register",IF(K7&lt;&gt;"Yes","ERROR — official institutional communication not attached",IF(AND(I7&lt;&gt;"",I7&gt;NM_END),"WARNING — revised completion exceeds original timelines","OK"))))))</f>
        <v/>
      </c>
    </row>
    <row r="8">
      <c r="A8" s="5" t="n">
        <v>2</v>
      </c>
      <c r="B8" s="6">
        <f>IF(D8="","",NM_ID)</f>
        <v/>
      </c>
      <c r="C8" s="6">
        <f>IF(D8="","",NM_ID)</f>
        <v/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6">
        <f>IF(D8="","—",IF(E8="","ERROR — effective date missing",IF(AND(OR(D8="Change of institution (Clause 4.6)",D8="Change of programme (Clause 4.6)"),AND(G8="",H8="")),"ERROR — new institution / programme required",IF(AND(D8="Change of institution (Clause 4.6)",G8&lt;&gt;"",COUNTIF('98_Institutions'!$D$2:$D$400,G8)=0),"ERROR — new institution not on the eligible register",IF(K8&lt;&gt;"Yes","ERROR — official institutional communication not attached",IF(AND(I8&lt;&gt;"",I8&gt;NM_END),"WARNING — revised completion exceeds original timelines","OK"))))))</f>
        <v/>
      </c>
    </row>
    <row r="9">
      <c r="A9" s="5" t="n">
        <v>3</v>
      </c>
      <c r="B9" s="6">
        <f>IF(D9="","",NM_ID)</f>
        <v/>
      </c>
      <c r="C9" s="6">
        <f>IF(D9="","",NM_ID)</f>
        <v/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6">
        <f>IF(D9="","—",IF(E9="","ERROR — effective date missing",IF(AND(OR(D9="Change of institution (Clause 4.6)",D9="Change of programme (Clause 4.6)"),AND(G9="",H9="")),"ERROR — new institution / programme required",IF(AND(D9="Change of institution (Clause 4.6)",G9&lt;&gt;"",COUNTIF('98_Institutions'!$D$2:$D$400,G9)=0),"ERROR — new institution not on the eligible register",IF(K9&lt;&gt;"Yes","ERROR — official institutional communication not attached",IF(AND(I9&lt;&gt;"",I9&gt;NM_END),"WARNING — revised completion exceeds original timelines","OK"))))))</f>
        <v/>
      </c>
    </row>
    <row r="10">
      <c r="A10" s="5" t="n">
        <v>4</v>
      </c>
      <c r="B10" s="6">
        <f>IF(D10="","",NM_ID)</f>
        <v/>
      </c>
      <c r="C10" s="6">
        <f>IF(D10="","",NM_ID)</f>
        <v/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6">
        <f>IF(D10="","—",IF(E10="","ERROR — effective date missing",IF(AND(OR(D10="Change of institution (Clause 4.6)",D10="Change of programme (Clause 4.6)"),AND(G10="",H10="")),"ERROR — new institution / programme required",IF(AND(D10="Change of institution (Clause 4.6)",G10&lt;&gt;"",COUNTIF('98_Institutions'!$D$2:$D$400,G10)=0),"ERROR — new institution not on the eligible register",IF(K10&lt;&gt;"Yes","ERROR — official institutional communication not attached",IF(AND(I10&lt;&gt;"",I10&gt;NM_END),"WARNING — revised completion exceeds original timelines","OK"))))))</f>
        <v/>
      </c>
    </row>
    <row r="11">
      <c r="A11" s="5" t="n">
        <v>5</v>
      </c>
      <c r="B11" s="6">
        <f>IF(D11="","",NM_ID)</f>
        <v/>
      </c>
      <c r="C11" s="6">
        <f>IF(D11="","",NM_ID)</f>
        <v/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6">
        <f>IF(D11="","—",IF(E11="","ERROR — effective date missing",IF(AND(OR(D11="Change of institution (Clause 4.6)",D11="Change of programme (Clause 4.6)"),AND(G11="",H11="")),"ERROR — new institution / programme required",IF(AND(D11="Change of institution (Clause 4.6)",G11&lt;&gt;"",COUNTIF('98_Institutions'!$D$2:$D$400,G11)=0),"ERROR — new institution not on the eligible register",IF(K11&lt;&gt;"Yes","ERROR — official institutional communication not attached",IF(AND(I11&lt;&gt;"",I11&gt;NM_END),"WARNING — revised completion exceeds original timelines","OK"))))))</f>
        <v/>
      </c>
    </row>
    <row r="12">
      <c r="A12" s="5" t="n">
        <v>6</v>
      </c>
      <c r="B12" s="6">
        <f>IF(D12="","",NM_ID)</f>
        <v/>
      </c>
      <c r="C12" s="6">
        <f>IF(D12="","",NM_ID)</f>
        <v/>
      </c>
      <c r="D12" s="10" t="n"/>
      <c r="E12" s="10" t="n"/>
      <c r="F12" s="10" t="n"/>
      <c r="G12" s="10" t="n"/>
      <c r="H12" s="10" t="n"/>
      <c r="I12" s="10" t="n"/>
      <c r="J12" s="10" t="n"/>
      <c r="K12" s="10" t="n"/>
      <c r="L12" s="6">
        <f>IF(D12="","—",IF(E12="","ERROR — effective date missing",IF(AND(OR(D12="Change of institution (Clause 4.6)",D12="Change of programme (Clause 4.6)"),AND(G12="",H12="")),"ERROR — new institution / programme required",IF(AND(D12="Change of institution (Clause 4.6)",G12&lt;&gt;"",COUNTIF('98_Institutions'!$D$2:$D$400,G12)=0),"ERROR — new institution not on the eligible register",IF(K12&lt;&gt;"Yes","ERROR — official institutional communication not attached",IF(AND(I12&lt;&gt;"",I12&gt;NM_END),"WARNING — revised completion exceeds original timelines","OK"))))))</f>
        <v/>
      </c>
    </row>
    <row r="13">
      <c r="A13" s="5" t="n">
        <v>7</v>
      </c>
      <c r="B13" s="6">
        <f>IF(D13="","",NM_ID)</f>
        <v/>
      </c>
      <c r="C13" s="6">
        <f>IF(D13="","",NM_ID)</f>
        <v/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6">
        <f>IF(D13="","—",IF(E13="","ERROR — effective date missing",IF(AND(OR(D13="Change of institution (Clause 4.6)",D13="Change of programme (Clause 4.6)"),AND(G13="",H13="")),"ERROR — new institution / programme required",IF(AND(D13="Change of institution (Clause 4.6)",G13&lt;&gt;"",COUNTIF('98_Institutions'!$D$2:$D$400,G13)=0),"ERROR — new institution not on the eligible register",IF(K13&lt;&gt;"Yes","ERROR — official institutional communication not attached",IF(AND(I13&lt;&gt;"",I13&gt;NM_END),"WARNING — revised completion exceeds original timelines","OK"))))))</f>
        <v/>
      </c>
    </row>
    <row r="14">
      <c r="A14" s="5" t="n">
        <v>8</v>
      </c>
      <c r="B14" s="6">
        <f>IF(D14="","",NM_ID)</f>
        <v/>
      </c>
      <c r="C14" s="6">
        <f>IF(D14="","",NM_ID)</f>
        <v/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6">
        <f>IF(D14="","—",IF(E14="","ERROR — effective date missing",IF(AND(OR(D14="Change of institution (Clause 4.6)",D14="Change of programme (Clause 4.6)"),AND(G14="",H14="")),"ERROR — new institution / programme required",IF(AND(D14="Change of institution (Clause 4.6)",G14&lt;&gt;"",COUNTIF('98_Institutions'!$D$2:$D$400,G14)=0),"ERROR — new institution not on the eligible register",IF(K14&lt;&gt;"Yes","ERROR — official institutional communication not attached",IF(AND(I14&lt;&gt;"",I14&gt;NM_END),"WARNING — revised completion exceeds original timelines","OK"))))))</f>
        <v/>
      </c>
    </row>
    <row r="16">
      <c r="A16" s="5" t="inlineStr">
        <is>
          <t>Student undertaking</t>
        </is>
      </c>
    </row>
    <row r="17">
      <c r="A17" s="5" t="inlineStr">
        <is>
          <t>I shall not change institution/programme except in accordance with the SVMS Guidelines. Approval is subject to original programme timelines and other Scheme conditions.</t>
        </is>
      </c>
    </row>
    <row r="18"/>
    <row r="19">
      <c r="B19" s="5" t="inlineStr">
        <is>
          <t>Undertaking accepted?</t>
        </is>
      </c>
      <c r="D19" s="5" t="n"/>
    </row>
    <row r="20">
      <c r="B20" s="5" t="inlineStr">
        <is>
          <t>Place</t>
        </is>
      </c>
      <c r="D20" s="5" t="n"/>
    </row>
    <row r="21">
      <c r="B21" s="5" t="inlineStr">
        <is>
          <t>Date</t>
        </is>
      </c>
      <c r="C21" s="23" t="n"/>
      <c r="D21" s="5" t="n"/>
    </row>
    <row r="23">
      <c r="B23" s="5" t="inlineStr">
        <is>
          <t>Annex-VII pack status</t>
        </is>
      </c>
      <c r="D23" s="6">
        <f>IF(COUNTA(D7:D14)=0,"NO REQUEST ENTERED",IF(COUNTIF(L7:L14,"ERROR*")&gt;0,"ERRORS IN REQUESTS",IF(D19&lt;&gt;"Yes","UNDERTAKING PENDING","IN ORDER")))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6">
    <mergeCell ref="A2:L2"/>
    <mergeCell ref="A16:L16"/>
    <mergeCell ref="A1:L1"/>
    <mergeCell ref="A17:J18"/>
    <mergeCell ref="A3:L3"/>
    <mergeCell ref="A4:L4"/>
  </mergeCells>
  <dataValidations count="6">
    <dataValidation sqref="D7:D14" showDropDown="0" showInputMessage="0" showErrorMessage="1" allowBlank="1" errorTitle="Invalid entry" error="Select a value from the list." type="list">
      <formula1>L_Req</formula1>
    </dataValidation>
    <dataValidation sqref="K7:K14" showDropDown="0" showInputMessage="0" showErrorMessage="1" allowBlank="1" errorTitle="Invalid entry" error="Select a value from the list." type="list">
      <formula1>L_YN</formula1>
    </dataValidation>
    <dataValidation sqref="D19" showDropDown="0" showInputMessage="0" showErrorMessage="1" allowBlank="1" errorTitle="Invalid entry" error="Select a value from the list." type="list">
      <formula1>L_YN</formula1>
    </dataValidation>
    <dataValidation sqref="H5" showDropDown="0" showInputMessage="0" showErrorMessage="0" allowBlank="1" type="list">
      <formula1>INDIRECT(IF(NM_COMP="Domestic","L_Ctry_DOM","L_Ctry_INT"))</formula1>
    </dataValidation>
    <dataValidation sqref="J5" showDropDown="0" showInputMessage="0" showErrorMessage="0" allowBlank="1" type="list">
      <formula1>INDIRECT(IF(NM_COMP="Domestic","L_States_DOM","L_NA"))</formula1>
    </dataValidation>
    <dataValidation sqref="G7:G14" showDropDown="0" showInputMessage="0" showErrorMessage="0" allowBlank="1" type="list">
      <formula1>IF(NM_COMP="Domestic",INDIRECT("ST_"&amp;SUBSTITUTE(SUBSTITUTE($J$5," ","_"),"&amp;","and")),INDIRECT("INST_"&amp;SUBSTITUTE(SUBSTITUTE($H$5," ","_"),",","")))</formula1>
    </dataValidation>
  </dataValidations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36" customWidth="1" min="3" max="3"/>
    <col width="22" customWidth="1" min="4" max="4"/>
    <col width="20" customWidth="1" min="5" max="5"/>
    <col width="18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ANNEXURE-VIII  •  WITHDRAWAL / DISCONTINUATION INTIMATION</t>
        </is>
      </c>
    </row>
    <row r="4">
      <c r="A4" s="4" t="inlineStr">
        <is>
          <t>Submit immediately upon withdrawal / discontinuation / expulsion / cancellation of admission</t>
        </is>
      </c>
    </row>
    <row r="6">
      <c r="A6" s="5" t="inlineStr">
        <is>
          <t>A. Scholar and event</t>
        </is>
      </c>
    </row>
    <row r="7">
      <c r="B7" s="5" t="inlineStr">
        <is>
          <t>Scholar ID</t>
        </is>
      </c>
      <c r="C7" s="6">
        <f>NM_ID</f>
        <v/>
      </c>
    </row>
    <row r="8">
      <c r="B8" s="5" t="inlineStr">
        <is>
          <t>Application ID</t>
        </is>
      </c>
      <c r="C8" s="6">
        <f>NM_ID</f>
        <v/>
      </c>
    </row>
    <row r="9">
      <c r="B9" s="5" t="inlineStr">
        <is>
          <t>Scholar name</t>
        </is>
      </c>
      <c r="C9" s="6">
        <f>NM_NAME</f>
        <v/>
      </c>
    </row>
    <row r="10">
      <c r="B10" s="5" t="inlineStr">
        <is>
          <t>Institution</t>
        </is>
      </c>
      <c r="C10" s="6">
        <f>NM_INST</f>
        <v/>
      </c>
    </row>
    <row r="11">
      <c r="B11" s="5" t="inlineStr">
        <is>
          <t>Programme</t>
        </is>
      </c>
      <c r="C11" s="6">
        <f>NM_PROG</f>
        <v/>
      </c>
    </row>
    <row r="12">
      <c r="B12" s="5" t="inlineStr">
        <is>
          <t>Effective date of withdrawal / discontinuation *</t>
        </is>
      </c>
      <c r="C12" s="22" t="n"/>
    </row>
    <row r="13">
      <c r="B13" s="5" t="inlineStr">
        <is>
          <t>Reason *</t>
        </is>
      </c>
      <c r="C13" s="21" t="n"/>
    </row>
    <row r="14">
      <c r="B14" s="5" t="inlineStr">
        <is>
          <t>Last date of enrolment</t>
        </is>
      </c>
      <c r="C14" s="22" t="n"/>
    </row>
    <row r="15">
      <c r="B15" s="5" t="inlineStr">
        <is>
          <t>Narrative / particulars</t>
        </is>
      </c>
      <c r="C15" s="21" t="n"/>
      <c r="D15" s="24" t="n"/>
      <c r="E15" s="24" t="n"/>
      <c r="F15" s="25" t="n"/>
    </row>
    <row r="16">
      <c r="C16" s="26" t="n"/>
      <c r="D16" s="27" t="n"/>
      <c r="E16" s="27" t="n"/>
      <c r="F16" s="28" t="n"/>
    </row>
    <row r="18">
      <c r="A18" s="5" t="inlineStr">
        <is>
          <t>B. Financial information</t>
        </is>
      </c>
    </row>
    <row r="19">
      <c r="B19" s="5" t="inlineStr">
        <is>
          <t>Scholarship received for current period</t>
        </is>
      </c>
      <c r="C19" s="21" t="n"/>
    </row>
    <row r="20">
      <c r="B20" s="5" t="inlineStr">
        <is>
          <t>Fee paid for current period</t>
        </is>
      </c>
      <c r="C20" s="21" t="n"/>
    </row>
    <row r="21">
      <c r="B21" s="5" t="inlineStr">
        <is>
          <t>Refund due / received from institution</t>
        </is>
      </c>
      <c r="C21" s="21" t="n"/>
    </row>
    <row r="22">
      <c r="B22" s="5" t="inlineStr">
        <is>
          <t>Date of refund, if received</t>
        </is>
      </c>
      <c r="C22" s="22" t="n"/>
    </row>
    <row r="23">
      <c r="B23" s="5" t="inlineStr">
        <is>
          <t>Amount to be refunded / adjusted, if known</t>
        </is>
      </c>
      <c r="C23" s="21" t="n"/>
    </row>
    <row r="25">
      <c r="A25" s="5" t="inlineStr">
        <is>
          <t>C. Student declaration</t>
        </is>
      </c>
    </row>
    <row r="26">
      <c r="B26" s="5" t="inlineStr">
        <is>
          <t>I intimate the withdrawal / discontinuation / cancellation stated above and shall provide information required for entitlement and recovery of any amount paid after the effective date.</t>
        </is>
      </c>
    </row>
    <row r="27"/>
    <row r="28">
      <c r="B28" s="5" t="inlineStr">
        <is>
          <t>Declaration accepted?</t>
        </is>
      </c>
      <c r="C28" s="21" t="n"/>
    </row>
    <row r="29">
      <c r="B29" s="5" t="inlineStr">
        <is>
          <t>Place</t>
        </is>
      </c>
      <c r="C29" s="21" t="n"/>
    </row>
    <row r="30">
      <c r="B30" s="5" t="inlineStr">
        <is>
          <t>Date of intimation</t>
        </is>
      </c>
      <c r="C30" s="22" t="n"/>
    </row>
    <row r="32">
      <c r="A32" s="5" t="inlineStr">
        <is>
          <t>D. System checks</t>
        </is>
      </c>
    </row>
    <row r="33">
      <c r="B33" s="5" t="inlineStr">
        <is>
          <t>Annex-VIII status</t>
        </is>
      </c>
      <c r="C33" s="6">
        <f>IF(C12="","NO WITHDRAWAL RECORDED",IF(AND(ISNUMBER(NM_ADT),C12&lt;NM_ADT),"ERROR — withdrawal date earlier than admission",IF(OR(C13="",C28&lt;&gt;"Yes"),"ERROR — reason / declaration incomplete","RECORDED — scholarship ceases from effective date")))</f>
        <v/>
      </c>
    </row>
    <row r="34">
      <c r="B34" s="5" t="inlineStr">
        <is>
          <t>Recoverable indicator (received − refund known)</t>
        </is>
      </c>
      <c r="C34" s="6">
        <f>IF(C12="","",N(C19)-N(C21))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1">
    <mergeCell ref="A18:H18"/>
    <mergeCell ref="A4:H4"/>
    <mergeCell ref="A3:H3"/>
    <mergeCell ref="A25:H25"/>
    <mergeCell ref="A2:H2"/>
    <mergeCell ref="B26:F27"/>
    <mergeCell ref="C15:F16"/>
    <mergeCell ref="C33:F33"/>
    <mergeCell ref="A1:H1"/>
    <mergeCell ref="A32:H32"/>
    <mergeCell ref="A6:H6"/>
  </mergeCells>
  <dataValidations count="2">
    <dataValidation sqref="C13" showDropDown="0" showInputMessage="0" showErrorMessage="1" allowBlank="1" errorTitle="Invalid entry" error="Select a value from the list." type="list">
      <formula1>L_WD</formula1>
    </dataValidation>
    <dataValidation sqref="C28" showDropDown="0" showInputMessage="0" showErrorMessage="1" allowBlank="1" errorTitle="Invalid entry" error="Select a value from the list." type="list">
      <formula1>L_YN</formula1>
    </dataValidation>
  </dataValidations>
  <pageMargins left="0.75" right="0.7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8" customWidth="1" min="1" max="1"/>
    <col width="64" customWidth="1" min="2" max="2"/>
    <col width="16" customWidth="1" min="3" max="3"/>
    <col width="42" customWidth="1" min="4" max="4"/>
    <col width="22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10  •  ELIGIBILITY ENGINE  (CLAUSE-BY-CLAUSE)</t>
        </is>
      </c>
    </row>
    <row r="4">
      <c r="A4" s="4" t="inlineStr">
        <is>
          <t>PASS / FAIL / NA is computed from Master. Overall result drives the READY gate.</t>
        </is>
      </c>
    </row>
    <row r="5">
      <c r="A5" s="5" t="inlineStr">
        <is>
          <t>Overall result</t>
        </is>
      </c>
    </row>
    <row r="6">
      <c r="B6" s="5" t="inlineStr">
        <is>
          <t>OVERALL ELIGIBILITY</t>
        </is>
      </c>
      <c r="C6" s="6">
        <f>IF(COUNTIF(C12:C41,"FAIL")&gt;0,"NOT ELIGIBLE",IF(COUNTIF(C12:C41,"PENDING")&gt;0,"PENDING DATA","ELIGIBLE"))</f>
        <v/>
      </c>
    </row>
    <row r="7">
      <c r="B7" s="5" t="inlineStr">
        <is>
          <t>FAIL / PENDING counts</t>
        </is>
      </c>
      <c r="C7" s="6">
        <f>COUNTIF(C12:C41,"FAIL")&amp;" FAIL  |  "&amp;COUNTIF(C12:C41,"PENDING")&amp;" PENDING"</f>
        <v/>
      </c>
    </row>
    <row r="8">
      <c r="B8" s="5" t="inlineStr">
        <is>
          <t>Computed support band</t>
        </is>
      </c>
      <c r="C8" s="6">
        <f>NM_BAND</f>
        <v/>
      </c>
    </row>
    <row r="9">
      <c r="B9" s="5" t="inlineStr">
        <is>
          <t>Computed support rate</t>
        </is>
      </c>
      <c r="C9" s="6">
        <f>NM_RATE</f>
        <v/>
      </c>
    </row>
    <row r="11">
      <c r="A11" s="5" t="inlineStr">
        <is>
          <t>Rule</t>
        </is>
      </c>
      <c r="B11" s="5" t="inlineStr">
        <is>
          <t>Condition (Guideline reference)</t>
        </is>
      </c>
      <c r="C11" s="5" t="inlineStr">
        <is>
          <t>Result</t>
        </is>
      </c>
      <c r="D11" s="5" t="inlineStr">
        <is>
          <t>Detail</t>
        </is>
      </c>
      <c r="E11" s="5" t="inlineStr">
        <is>
          <t>Severity</t>
        </is>
      </c>
    </row>
    <row r="12">
      <c r="A12" s="5" t="inlineStr">
        <is>
          <t>R01</t>
        </is>
      </c>
      <c r="B12" s="5" t="inlineStr">
        <is>
          <t>Name furnished (Annex-II-A)</t>
        </is>
      </c>
      <c r="C12" s="6">
        <f>IF(NM_NAME="","PENDING","PASS")</f>
        <v/>
      </c>
      <c r="D12" s="6">
        <f>NM_NAME</f>
        <v/>
      </c>
      <c r="E12" s="6">
        <f>IF(C12="FAIL","BLOCKS ELIGIBILITY",IF(C12="PENDING","COMPLETE MASTER",IF(C12="NA","—","OK")))</f>
        <v/>
      </c>
    </row>
    <row r="13">
      <c r="A13" s="5" t="inlineStr">
        <is>
          <t>R02</t>
        </is>
      </c>
      <c r="B13" s="5" t="inlineStr">
        <is>
          <t>Date of birth is a valid date</t>
        </is>
      </c>
      <c r="C13" s="6">
        <f>IF(NM_DOB="","PENDING",IF(ISNUMBER(NM_DOB),"PASS","FAIL"))</f>
        <v/>
      </c>
      <c r="D13" s="6">
        <f>IF(ISNUMBER(NM_DOB),TEXT(NM_DOB,"dd-mmm-yyyy"),NM_DOB)</f>
        <v/>
      </c>
      <c r="E13" s="6">
        <f>IF(C13="FAIL","BLOCKS ELIGIBILITY",IF(C13="PENDING","COMPLETE MASTER",IF(C13="NA","—","OK")))</f>
        <v/>
      </c>
    </row>
    <row r="14">
      <c r="A14" s="5" t="inlineStr">
        <is>
          <t>R03</t>
        </is>
      </c>
      <c r="B14" s="5" t="inlineStr">
        <is>
          <t>Mobile is 10 digits</t>
        </is>
      </c>
      <c r="C14" s="6">
        <f>IF(NM_MOB="","PENDING",IF(AND(ISNUMBER(NM_MOB),LEN(TEXT(NM_MOB,"0"))=10),"PASS","FAIL"))</f>
        <v/>
      </c>
      <c r="D14" s="6">
        <f>NM_MOB</f>
        <v/>
      </c>
      <c r="E14" s="6">
        <f>IF(C14="FAIL","BLOCKS ELIGIBILITY",IF(C14="PENDING","COMPLETE MASTER",IF(C14="NA","—","OK")))</f>
        <v/>
      </c>
    </row>
    <row r="15">
      <c r="A15" s="5" t="inlineStr">
        <is>
          <t>R04</t>
        </is>
      </c>
      <c r="B15" s="5" t="inlineStr">
        <is>
          <t>Email contains @</t>
        </is>
      </c>
      <c r="C15" s="6">
        <f>IF(NM_MAIL="","PENDING",IF(ISNUMBER(SEARCH("@",NM_MAIL)),"PASS","FAIL"))</f>
        <v/>
      </c>
      <c r="D15" s="6">
        <f>NM_MAIL</f>
        <v/>
      </c>
      <c r="E15" s="6">
        <f>IF(C15="FAIL","BLOCKS ELIGIBILITY",IF(C15="PENDING","COMPLETE MASTER",IF(C15="NA","—","OK")))</f>
        <v/>
      </c>
    </row>
    <row r="16">
      <c r="A16" s="5" t="inlineStr">
        <is>
          <t>R05</t>
        </is>
      </c>
      <c r="B16" s="5" t="inlineStr">
        <is>
          <t>Aadhaar is 12-digit text (not exponential)</t>
        </is>
      </c>
      <c r="C16" s="6">
        <f>IF(NM_UID="","PENDING",IF(AND(LEN(TRIM(NM_UID))=12,ISNUMBER(--NM_UID)),"PASS","FAIL"))</f>
        <v/>
      </c>
      <c r="D16" s="6">
        <f>NM_UID</f>
        <v/>
      </c>
      <c r="E16" s="6">
        <f>IF(C16="FAIL","BLOCKS ELIGIBILITY",IF(C16="PENDING","COMPLETE MASTER",IF(C16="NA","—","OK")))</f>
        <v/>
      </c>
    </row>
    <row r="17">
      <c r="A17" s="5" t="inlineStr">
        <is>
          <t>R06</t>
        </is>
      </c>
      <c r="B17" s="5" t="inlineStr">
        <is>
          <t>WB address, district and 6-digit PIN (1.1(a), 2A(f))</t>
        </is>
      </c>
      <c r="C17" s="6">
        <f>IF(OR(NM_ADDR="",NM_DIST="",NM_PIN=""),"PENDING",IF(AND(ISNUMBER(NM_PIN),LEN(TEXT(NM_PIN,"0"))=6),"PASS","FAIL"))</f>
        <v/>
      </c>
      <c r="D17" s="6">
        <f>NM_DIST&amp;" / "&amp;NM_PIN</f>
        <v/>
      </c>
      <c r="E17" s="6">
        <f>IF(C17="FAIL","BLOCKS ELIGIBILITY",IF(C17="PENDING","COMPLETE MASTER",IF(C17="NA","—","OK")))</f>
        <v/>
      </c>
    </row>
    <row r="18">
      <c r="A18" s="5" t="inlineStr">
        <is>
          <t>R07</t>
        </is>
      </c>
      <c r="B18" s="5" t="inlineStr">
        <is>
          <t>Class X from a WB school in Regular mode (1.1(a))</t>
        </is>
      </c>
      <c r="C18" s="6">
        <f>IF(OR(NM_SCH="",NM_X="",NM_MODE=""),"PENDING",IF(NM_MODE="Regular","PASS","FAIL"))</f>
        <v/>
      </c>
      <c r="D18" s="6">
        <f>NM_SCH&amp;" | "&amp;NM_MODE</f>
        <v/>
      </c>
      <c r="E18" s="6">
        <f>IF(C18="FAIL","BLOCKS ELIGIBILITY",IF(C18="PENDING","COMPLETE MASTER",IF(C18="NA","—","OK")))</f>
        <v/>
      </c>
    </row>
    <row r="19">
      <c r="A19" s="5" t="inlineStr">
        <is>
          <t>R08</t>
        </is>
      </c>
      <c r="B19" s="5" t="inlineStr">
        <is>
          <t>Elector particulars (1.1(b))</t>
        </is>
      </c>
      <c r="C19" s="6">
        <f>IF(OR(NM_ELC="",NM_EPIC=""),"PENDING","PASS")</f>
        <v/>
      </c>
      <c r="D19" s="6">
        <f>NM_ELC&amp;" | "&amp;NM_EPIC</f>
        <v/>
      </c>
      <c r="E19" s="6">
        <f>IF(C19="FAIL","BLOCKS ELIGIBILITY",IF(C19="PENDING","COMPLETE MASTER",IF(C19="NA","—","OK")))</f>
        <v/>
      </c>
    </row>
    <row r="20">
      <c r="A20" s="5" t="inlineStr">
        <is>
          <t>R09</t>
        </is>
      </c>
      <c r="B20" s="5" t="inlineStr">
        <is>
          <t>Orphan vs elector relationship consistent</t>
        </is>
      </c>
      <c r="C20" s="6">
        <f>IF(OR(NM_ORPH="",NM_REL=""),"PENDING",IF(AND(NM_ORPH="No",NM_REL="Self (orphan scholar is the elector)"),"FAIL","PASS"))</f>
        <v/>
      </c>
      <c r="D20" s="6">
        <f>NM_ORPH&amp;" | "&amp;NM_REL</f>
        <v/>
      </c>
      <c r="E20" s="6">
        <f>IF(C20="FAIL","BLOCKS ELIGIBILITY",IF(C20="PENDING","COMPLETE MASTER",IF(C20="NA","—","OK")))</f>
        <v/>
      </c>
    </row>
    <row r="21">
      <c r="A21" s="5" t="inlineStr">
        <is>
          <t>R10</t>
        </is>
      </c>
      <c r="B21" s="5" t="inlineStr">
        <is>
          <t>Fresh admission on/after 01-Apr-2026 (1.1(e))</t>
        </is>
      </c>
      <c r="C21" s="6">
        <f>IF(NM_ADT="","PENDING",IF(NM_ADT&gt;=99_Lookups!S2,"PASS","FAIL"))</f>
        <v/>
      </c>
      <c r="D21" s="6">
        <f>IF(ISNUMBER(NM_ADT),TEXT(NM_ADT,"dd-mmm-yyyy"),"")</f>
        <v/>
      </c>
      <c r="E21" s="6">
        <f>IF(C21="FAIL","BLOCKS ELIGIBILITY",IF(C21="PENDING","COMPLETE MASTER",IF(C21="NA","—","OK")))</f>
        <v/>
      </c>
    </row>
    <row r="22">
      <c r="A22" s="5" t="inlineStr">
        <is>
          <t>R11</t>
        </is>
      </c>
      <c r="B22" s="5" t="inlineStr">
        <is>
          <t>SVMS not previously availed (1.1(f))</t>
        </is>
      </c>
      <c r="C22" s="6">
        <f>IF(NM_SVMS="","PENDING",IF(NM_SVMS="No","PASS","FAIL"))</f>
        <v/>
      </c>
      <c r="D22" s="6">
        <f>NM_SVMS</f>
        <v/>
      </c>
      <c r="E22" s="6">
        <f>IF(C22="FAIL","BLOCKS ELIGIBILITY",IF(C22="PENDING","COMPLETE MASTER",IF(C22="NA","—","OK")))</f>
        <v/>
      </c>
    </row>
    <row r="23">
      <c r="A23" s="5" t="inlineStr">
        <is>
          <t>R12</t>
        </is>
      </c>
      <c r="B23" s="5" t="inlineStr">
        <is>
          <t>UG dual-benefit bar with BNUB (1.1(g))</t>
        </is>
      </c>
      <c r="C23" s="6">
        <f>IF(OR(NM_LVL="",NM_BNUB=""),"PENDING",IF(AND(NM_LVL="Undergraduate",NM_BNUB="Yes"),"FAIL","PASS"))</f>
        <v/>
      </c>
      <c r="D23" s="6">
        <f>NM_LVL&amp;" | BNUB="&amp;NM_BNUB</f>
        <v/>
      </c>
      <c r="E23" s="6">
        <f>IF(C23="FAIL","BLOCKS ELIGIBILITY",IF(C23="PENDING","COMPLETE MASTER",IF(C23="NA","—","OK")))</f>
        <v/>
      </c>
    </row>
    <row r="24">
      <c r="A24" s="5" t="inlineStr">
        <is>
          <t>R13</t>
        </is>
      </c>
      <c r="B24" s="5" t="inlineStr">
        <is>
          <t>Master's after BNUB open if no prior SVMS (1.1(h))</t>
        </is>
      </c>
      <c r="C24" s="6">
        <f>IF(OR(NM_LVL="",NM_BNUB=""),"PENDING",IF(NM_LVL="Master's","PASS","NA"))</f>
        <v/>
      </c>
      <c r="D24" s="6">
        <f>NM_LVL&amp;" | BNUB="&amp;NM_BNUB</f>
        <v/>
      </c>
      <c r="E24" s="6">
        <f>IF(C24="FAIL","BLOCKS ELIGIBILITY",IF(C24="PENDING","COMPLETE MASTER",IF(C24="NA","—","OK")))</f>
        <v/>
      </c>
    </row>
    <row r="25">
      <c r="A25" s="5" t="inlineStr">
        <is>
          <t>R14</t>
        </is>
      </c>
      <c r="B25" s="5" t="inlineStr">
        <is>
          <t>Full-time regular programme (3.1.4(b))</t>
        </is>
      </c>
      <c r="C25" s="6">
        <f>IF(NM_FT="","PENDING",IF(NM_FT="Yes","PASS","FAIL"))</f>
        <v/>
      </c>
      <c r="D25" s="6">
        <f>NM_FT</f>
        <v/>
      </c>
      <c r="E25" s="6">
        <f>IF(C25="FAIL","BLOCKS ELIGIBILITY",IF(C25="PENDING","COMPLETE MASTER",IF(C25="NA","—","OK")))</f>
        <v/>
      </c>
    </row>
    <row r="26">
      <c r="A26" s="5" t="inlineStr">
        <is>
          <t>R15</t>
        </is>
      </c>
      <c r="B26" s="5" t="inlineStr">
        <is>
          <t>International programme is residential (Clause 3)</t>
        </is>
      </c>
      <c r="C26" s="6">
        <f>IF(NM_COMP="","PENDING",IF(NM_COMP="Domestic","NA",IF(NM_RES="Yes","PASS","FAIL")))</f>
        <v/>
      </c>
      <c r="D26" s="6">
        <f>NM_COMP&amp;" | Res="&amp;NM_RES</f>
        <v/>
      </c>
      <c r="E26" s="6">
        <f>IF(C26="FAIL","BLOCKS ELIGIBILITY",IF(C26="PENDING","COMPLETE MASTER",IF(C26="NA","—","OK")))</f>
        <v/>
      </c>
    </row>
    <row r="27">
      <c r="A27" s="5" t="inlineStr">
        <is>
          <t>R16</t>
        </is>
      </c>
      <c r="B27" s="5" t="inlineStr">
        <is>
          <t>Component vs country (3.1.4(d))</t>
        </is>
      </c>
      <c r="C27" s="6">
        <f>IF(OR(NM_COMP="",NM_CTRY=""),"PENDING",IF(AND(NM_COMP="International",UPPER(TRIM(NM_CTRY))&lt;&gt;"INDIA"),"PASS",IF(AND(NM_COMP="Domestic",UPPER(TRIM(NM_CTRY))="INDIA"),"PASS","FAIL")))</f>
        <v/>
      </c>
      <c r="D27" s="6">
        <f>NM_COMP&amp;" | "&amp;NM_CTRY</f>
        <v/>
      </c>
      <c r="E27" s="6">
        <f>IF(C27="FAIL","BLOCKS ELIGIBILITY",IF(C27="PENDING","COMPLETE MASTER",IF(C27="NA","—","OK")))</f>
        <v/>
      </c>
    </row>
    <row r="28">
      <c r="A28" s="5" t="inlineStr">
        <is>
          <t>R17</t>
        </is>
      </c>
      <c r="B28" s="5" t="inlineStr">
        <is>
          <t>Domestic State/UT furnished</t>
        </is>
      </c>
      <c r="C28" s="6">
        <f>IF(NM_COMP="","PENDING",IF(NM_COMP="International","NA",IF(NM_ST="","PENDING","PASS")))</f>
        <v/>
      </c>
      <c r="D28" s="6">
        <f>NM_ST</f>
        <v/>
      </c>
      <c r="E28" s="6">
        <f>IF(C28="FAIL","BLOCKS ELIGIBILITY",IF(C28="PENDING","COMPLETE MASTER",IF(C28="NA","—","OK")))</f>
        <v/>
      </c>
    </row>
    <row r="29">
      <c r="A29" s="5" t="inlineStr">
        <is>
          <t>R18</t>
        </is>
      </c>
      <c r="B29" s="5" t="inlineStr">
        <is>
          <t>International uses QS Overall Top 100 (3 / 7.3(a))</t>
        </is>
      </c>
      <c r="C29" s="6">
        <f>IF(NM_COMP="","PENDING",IF(NM_COMP="Domestic","NA",IF(AND(NM_CAT="QS Top 100",ISNUMBER(NM_RNK),NM_RNK&gt;=1,NM_RNK&lt;=100),"PASS","FAIL")))</f>
        <v/>
      </c>
      <c r="D29" s="6">
        <f>NM_CAT&amp;" | "&amp;NM_RNK</f>
        <v/>
      </c>
      <c r="E29" s="6">
        <f>IF(C29="FAIL","BLOCKS ELIGIBILITY",IF(C29="PENDING","COMPLETE MASTER",IF(C29="NA","—","OK")))</f>
        <v/>
      </c>
    </row>
    <row r="30">
      <c r="A30" s="5" t="inlineStr">
        <is>
          <t>R19</t>
        </is>
      </c>
      <c r="B30" s="5" t="inlineStr">
        <is>
          <t>Domestic uses INI / Public IoE / NIRF Top 50 (3.1)</t>
        </is>
      </c>
      <c r="C30" s="6">
        <f>IF(NM_COMP="","PENDING",IF(NM_COMP="International","NA",IF(OR(NM_CAT="INI",NM_CAT="Public IoE",AND(NM_CAT="NIRF Top 50",ISNUMBER(NM_RNK),NM_RNK&gt;=1,NM_RNK&lt;=50)),"PASS","FAIL")))</f>
        <v/>
      </c>
      <c r="D30" s="6">
        <f>NM_CAT&amp;" | "&amp;NM_RNK</f>
        <v/>
      </c>
      <c r="E30" s="6">
        <f>IF(C30="FAIL","BLOCKS ELIGIBILITY",IF(C30="PENDING","COMPLETE MASTER",IF(C30="NA","—","OK")))</f>
        <v/>
      </c>
    </row>
    <row r="31">
      <c r="A31" s="5" t="inlineStr">
        <is>
          <t>R20</t>
        </is>
      </c>
      <c r="B31" s="5" t="inlineStr">
        <is>
          <t>Private domestic excluded (3.1.4(a))</t>
        </is>
      </c>
      <c r="C31" s="6">
        <f>IF(NM_PVT="","PENDING",IF(AND(NM_COMP="Domestic",NM_PVT="Yes"),"FAIL","PASS"))</f>
        <v/>
      </c>
      <c r="D31" s="6">
        <f>NM_COMP&amp;" | Pvt="&amp;NM_PVT</f>
        <v/>
      </c>
      <c r="E31" s="6">
        <f>IF(C31="FAIL","BLOCKS ELIGIBILITY",IF(C31="PENDING","COMPLETE MASTER",IF(C31="NA","—","OK")))</f>
        <v/>
      </c>
    </row>
    <row r="32">
      <c r="A32" s="5" t="inlineStr">
        <is>
          <t>R21</t>
        </is>
      </c>
      <c r="B32" s="5" t="inlineStr">
        <is>
          <t>Support band resolvable (Clause 7)</t>
        </is>
      </c>
      <c r="C32" s="6">
        <f>IF(NM_BAND="","PENDING",IF(NM_BAND="Not eligible","FAIL","PASS"))</f>
        <v/>
      </c>
      <c r="D32" s="6">
        <f>NM_BAND</f>
        <v/>
      </c>
      <c r="E32" s="6">
        <f>IF(C32="FAIL","BLOCKS ELIGIBILITY",IF(C32="PENDING","COMPLETE MASTER",IF(C32="NA","—","OK")))</f>
        <v/>
      </c>
    </row>
    <row r="33">
      <c r="A33" s="5" t="inlineStr">
        <is>
          <t>R22</t>
        </is>
      </c>
      <c r="B33" s="5" t="inlineStr">
        <is>
          <t>Approved tuition &gt; 0 and currency furnished</t>
        </is>
      </c>
      <c r="C33" s="6">
        <f>IF(OR(NM_TUIT="",NM_TCUR=""),"PENDING",IF(N(NM_TUIT)&gt;0,"PASS","FAIL"))</f>
        <v/>
      </c>
      <c r="D33" s="6">
        <f>NM_TCUR&amp;" "&amp;NM_TUIT</f>
        <v/>
      </c>
      <c r="E33" s="6">
        <f>IF(C33="FAIL","BLOCKS ELIGIBILITY",IF(C33="PENDING","COMPLETE MASTER",IF(C33="NA","—","OK")))</f>
        <v/>
      </c>
    </row>
    <row r="34">
      <c r="A34" s="5" t="inlineStr">
        <is>
          <t>R23</t>
        </is>
      </c>
      <c r="B34" s="5" t="inlineStr">
        <is>
          <t>Health insurance not claimed on Domestic (Clause 7)</t>
        </is>
      </c>
      <c r="C34" s="6">
        <f>IF(NM_COMP="","PENDING",IF(AND(NM_COMP="Domestic",N(NM_HI)&gt;0),"FAIL","PASS"))</f>
        <v/>
      </c>
      <c r="D34" s="6">
        <f>NM_HI</f>
        <v/>
      </c>
      <c r="E34" s="6">
        <f>IF(C34="FAIL","BLOCKS ELIGIBILITY",IF(C34="PENDING","COMPLETE MASTER",IF(C34="NA","—","OK")))</f>
        <v/>
      </c>
    </row>
    <row r="35">
      <c r="A35" s="5" t="inlineStr">
        <is>
          <t>R24</t>
        </is>
      </c>
      <c r="B35" s="5" t="inlineStr">
        <is>
          <t>Other-assistance flag vs amount (1.1(c), 6.3(a))</t>
        </is>
      </c>
      <c r="C35" s="6">
        <f>IF(NM_OTH="","PENDING",IF(AND(NM_OTH="Yes",N(NM_OAMT)&lt;=0),"FAIL",IF(AND(NM_OTH="No",N(NM_OAMT)&gt;0),"FAIL","PASS")))</f>
        <v/>
      </c>
      <c r="D35" s="6">
        <f>NM_OTH&amp;" | "&amp;NM_OAMT</f>
        <v/>
      </c>
      <c r="E35" s="6">
        <f>IF(C35="FAIL","BLOCKS ELIGIBILITY",IF(C35="PENDING","COMPLETE MASTER",IF(C35="NA","—","OK")))</f>
        <v/>
      </c>
    </row>
    <row r="36">
      <c r="A36" s="5" t="inlineStr">
        <is>
          <t>R25</t>
        </is>
      </c>
      <c r="B36" s="5" t="inlineStr">
        <is>
          <t>DBT bank particulars complete when DBT selected</t>
        </is>
      </c>
      <c r="C36" s="6">
        <f>IF(NM_PAY="","PENDING",IF(NM_PAY&lt;&gt;"DBT reimbursement","NA",IF(OR(NM_AH="",NM_BANK="",NM_AC="",NM_IFSC=""),"FAIL",IF(AND(LEN(NM_IFSC)=11,MID(NM_IFSC,5,1)="0"),"PASS","FAIL"))))</f>
        <v/>
      </c>
      <c r="D36" s="6">
        <f>NM_PAY</f>
        <v/>
      </c>
      <c r="E36" s="6">
        <f>IF(C36="FAIL","BLOCKS ELIGIBILITY",IF(C36="PENDING","COMPLETE MASTER",IF(C36="NA","—","OK")))</f>
        <v/>
      </c>
    </row>
    <row r="37">
      <c r="A37" s="5" t="inlineStr">
        <is>
          <t>R26</t>
        </is>
      </c>
      <c r="B37" s="5" t="inlineStr">
        <is>
          <t>Annex-II declarations all Yes</t>
        </is>
      </c>
      <c r="C37" s="6">
        <f>IF(OR(NM_D1="",NM_D2="",NM_D3=""),"PENDING",IF(AND(NM_D1="Yes",NM_D2="Yes",NM_D3="Yes"),"PASS","FAIL"))</f>
        <v/>
      </c>
      <c r="D37" s="6">
        <f>NM_D1&amp;"/"&amp;NM_D2&amp;"/"&amp;NM_D3</f>
        <v/>
      </c>
      <c r="E37" s="6">
        <f>IF(C37="FAIL","BLOCKS ELIGIBILITY",IF(C37="PENDING","COMPLETE MASTER",IF(C37="NA","—","OK")))</f>
        <v/>
      </c>
    </row>
    <row r="38">
      <c r="A38" s="5" t="inlineStr">
        <is>
          <t>R27</t>
        </is>
      </c>
      <c r="B38" s="5" t="inlineStr">
        <is>
          <t>Direct-pay pack consistent when that mode is preferred</t>
        </is>
      </c>
      <c r="C38" s="6">
        <f>IF(NM_PAY="","PENDING",IF(NM_PAY&lt;&gt;"Direct institutional payment","NA",IF(ISNUMBER(SEARCH("ERROR",07_AnnexVI_DirectPay!C53)),"FAIL",IF(OR(07_AnnexVI_DirectPay!C53="IN ORDER",LEFT(07_AnnexVI_DirectPay!C53,2)="NA"),"PASS","PENDING"))))</f>
        <v/>
      </c>
      <c r="D38" s="6">
        <f>07_AnnexVI_DirectPay!C53</f>
        <v/>
      </c>
      <c r="E38" s="6">
        <f>IF(C38="FAIL","BLOCKS ELIGIBILITY",IF(C38="PENDING","COMPLETE MASTER",IF(C38="NA","—","OK")))</f>
        <v/>
      </c>
    </row>
    <row r="39">
      <c r="A39" s="5" t="inlineStr">
        <is>
          <t>R28</t>
        </is>
      </c>
      <c r="B39" s="5" t="inlineStr">
        <is>
          <t>Withdrawal date not earlier than admission (4.5)</t>
        </is>
      </c>
      <c r="C39" s="6">
        <f>IF(09_AnnexVIII_Withdraw!C12="","PASS",IF(AND(ISNUMBER(NM_ADT),09_AnnexVIII_Withdraw!C12&lt;NM_ADT),"FAIL","PASS"))</f>
        <v/>
      </c>
      <c r="D39" s="6">
        <f>09_AnnexVIII_Withdraw!C33</f>
        <v/>
      </c>
      <c r="E39" s="6">
        <f>IF(C39="FAIL","BLOCKS ELIGIBILITY",IF(C39="PENDING","COMPLETE MASTER",IF(C39="NA","—","OK")))</f>
        <v/>
      </c>
    </row>
    <row r="40">
      <c r="A40" s="5" t="inlineStr">
        <is>
          <t>R29</t>
        </is>
      </c>
      <c r="B40" s="5" t="inlineStr">
        <is>
          <t>Category is one of the four permitted Overall sources</t>
        </is>
      </c>
      <c r="C40" s="6">
        <f>IF(NM_CAT="","PENDING",IF(OR(NM_CAT="QS Top 100",NM_CAT="INI",NM_CAT="Public IoE",NM_CAT="NIRF Top 50"),"PASS","FAIL"))</f>
        <v/>
      </c>
      <c r="D40" s="6">
        <f>NM_CAT</f>
        <v/>
      </c>
      <c r="E40" s="6">
        <f>IF(C40="FAIL","BLOCKS ELIGIBILITY",IF(C40="PENDING","COMPLETE MASTER",IF(C40="NA","—","OK")))</f>
        <v/>
      </c>
    </row>
    <row r="41">
      <c r="A41" s="5" t="inlineStr">
        <is>
          <t>R30</t>
        </is>
      </c>
      <c r="B41" s="5" t="inlineStr">
        <is>
          <t>Programme, institution and registration / CAS ID furnished</t>
        </is>
      </c>
      <c r="C41" s="6">
        <f>IF(OR(NM_PROG="",NM_REG="",NM_INST=""),"PENDING","PASS")</f>
        <v/>
      </c>
      <c r="D41" s="6">
        <f>LEFT(NM_INST&amp;" | "&amp;NM_PROG,80)</f>
        <v/>
      </c>
      <c r="E41" s="6">
        <f>IF(C41="FAIL","BLOCKS ELIGIBILITY",IF(C41="PENDING","COMPLETE MASTER",IF(C41="NA","—","OK")))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6">
    <mergeCell ref="A1:H1"/>
    <mergeCell ref="A4:H4"/>
    <mergeCell ref="A3:H3"/>
    <mergeCell ref="C6:D6"/>
    <mergeCell ref="A2:H2"/>
    <mergeCell ref="A5:H5"/>
  </mergeCells>
  <pageMargins left="0.75" right="0.75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22" customWidth="1" min="3" max="3"/>
    <col width="22" customWidth="1" min="4" max="4"/>
    <col width="26" customWidth="1" min="5" max="5"/>
    <col width="20" customWidth="1" min="6" max="6"/>
    <col width="18" customWidth="1" min="7" max="7"/>
    <col width="18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11  •  FEE / SUPPORT / CLAIM RECONCILIATION</t>
        </is>
      </c>
    </row>
    <row r="4">
      <c r="A4" s="4" t="inlineStr">
        <is>
          <t>Every rupee on the annexures must explain itself against Master tuition, band and other assistance</t>
        </is>
      </c>
    </row>
    <row r="6">
      <c r="A6" s="5" t="inlineStr">
        <is>
          <t>A. Master period (Annex-II-F)</t>
        </is>
      </c>
    </row>
    <row r="7">
      <c r="B7" s="5" t="inlineStr">
        <is>
          <t>Approved tuition fee (Master)</t>
        </is>
      </c>
      <c r="C7" s="6">
        <f>NM_TUIT</f>
        <v/>
      </c>
    </row>
    <row r="8">
      <c r="B8" s="5" t="inlineStr">
        <is>
          <t>Mandatory health insurance (Master)</t>
        </is>
      </c>
      <c r="C8" s="6">
        <f>NM_HI</f>
        <v/>
      </c>
    </row>
    <row r="9">
      <c r="B9" s="5" t="inlineStr">
        <is>
          <t>Gross base (Intl = tuition+HI; Domestic = tuition)</t>
        </is>
      </c>
      <c r="C9" s="6">
        <f>IF(NM_COMP="International",N(NM_TUIT)+N(NM_HI),N(NM_TUIT))</f>
        <v/>
      </c>
    </row>
    <row r="10">
      <c r="B10" s="5" t="inlineStr">
        <is>
          <t>Computed support rate</t>
        </is>
      </c>
      <c r="C10" s="6">
        <f>NM_RATE</f>
        <v/>
      </c>
    </row>
    <row r="11">
      <c r="B11" s="5" t="inlineStr">
        <is>
          <t>Gross support before other assistance</t>
        </is>
      </c>
      <c r="C11" s="6">
        <f>NM_GROSS</f>
        <v/>
      </c>
    </row>
    <row r="12">
      <c r="B12" s="5" t="inlineStr">
        <is>
          <t>Net admissible after other assistance</t>
        </is>
      </c>
      <c r="C12" s="6">
        <f>NM_NET</f>
        <v/>
      </c>
    </row>
    <row r="14">
      <c r="A14" s="5" t="inlineStr">
        <is>
          <t>B. Annexure line-item totals</t>
        </is>
      </c>
    </row>
    <row r="15">
      <c r="B15" s="5" t="inlineStr">
        <is>
          <t>Annex-IV — count of continuation periods</t>
        </is>
      </c>
      <c r="C15" s="6">
        <f>COUNTA(05_AnnexIV_Renewal!G7:G18)</f>
        <v/>
      </c>
    </row>
    <row r="16">
      <c r="B16" s="5" t="inlineStr">
        <is>
          <t>Annex-IV — sum of tuition demands</t>
        </is>
      </c>
      <c r="C16" s="6">
        <f>05_AnnexIV_Renewal!D30</f>
        <v/>
      </c>
    </row>
    <row r="17">
      <c r="B17" s="5" t="inlineStr">
        <is>
          <t>Annex-V — count of reimbursement claims</t>
        </is>
      </c>
      <c r="C17" s="6">
        <f>06_AnnexV_ReimbClaim!D27</f>
        <v/>
      </c>
    </row>
    <row r="18">
      <c r="B18" s="5" t="inlineStr">
        <is>
          <t>Annex-V — sum of computed admissible claims</t>
        </is>
      </c>
      <c r="C18" s="6">
        <f>06_AnnexV_ReimbClaim!D29</f>
        <v/>
      </c>
    </row>
    <row r="19">
      <c r="B19" s="5" t="inlineStr">
        <is>
          <t>Annex-VI — amount proposed for direct payment</t>
        </is>
      </c>
      <c r="C19" s="6">
        <f>N(07_AnnexVI_DirectPay!C13)</f>
        <v/>
      </c>
    </row>
    <row r="20">
      <c r="B20" s="5" t="inlineStr">
        <is>
          <t>Annex-VIII — refund due/received + amount to adjust</t>
        </is>
      </c>
      <c r="C20" s="6">
        <f>N(09_AnnexVIII_Withdraw!C21)+N(09_AnnexVIII_Withdraw!C23)</f>
        <v/>
      </c>
    </row>
    <row r="21">
      <c r="B21" s="5" t="inlineStr">
        <is>
          <t>Net position (admissible − claims − direct pay + refunds)</t>
        </is>
      </c>
      <c r="C21" s="6">
        <f>N(C12)-N(C18)-N(C19)+N(C20)</f>
        <v/>
      </c>
    </row>
    <row r="23">
      <c r="A23" s="5" t="inlineStr">
        <is>
          <t>C. Contradiction tests</t>
        </is>
      </c>
    </row>
    <row r="24">
      <c r="A24" s="5" t="inlineStr">
        <is>
          <t>T1</t>
        </is>
      </c>
      <c r="B24" s="5" t="inlineStr">
        <is>
          <t>Both DBT claims and direct-pay amount present</t>
        </is>
      </c>
      <c r="C24" s="6">
        <f>IF(AND(N(C18)&gt;0,N(C19)&gt;0),"WARNING — both DBT claims and direct-pay amount present","OK")</f>
        <v/>
      </c>
    </row>
    <row r="25">
      <c r="A25" s="5" t="inlineStr">
        <is>
          <t>T2</t>
        </is>
      </c>
      <c r="B25" s="5" t="inlineStr">
        <is>
          <t>Direct-pay proposed vs Master net admissible</t>
        </is>
      </c>
      <c r="C25" s="6">
        <f>IF(N(C19)=0,"NA",IF(N(C19)&gt;N(C12)+0.005,"FAIL — direct pay &gt; net admissible","OK"))</f>
        <v/>
      </c>
    </row>
    <row r="26">
      <c r="A26" s="5" t="inlineStr">
        <is>
          <t>T3</t>
        </is>
      </c>
      <c r="B26" s="5" t="inlineStr">
        <is>
          <t>Sum of claims vs current-period net</t>
        </is>
      </c>
      <c r="C26" s="6">
        <f>IF(N(C18)=0,"NA",IF(N(C18)&gt;N(C12)+0.005,"WARNING — claims exceed current-period net (check multi-period)","OK"))</f>
        <v/>
      </c>
    </row>
    <row r="27">
      <c r="A27" s="5" t="inlineStr">
        <is>
          <t>T4</t>
        </is>
      </c>
      <c r="B27" s="5" t="inlineStr">
        <is>
          <t>Preferred mode vs annexures actually used</t>
        </is>
      </c>
      <c r="C27" s="6">
        <f>IF(AND(NM_PAY="DBT reimbursement",N(C19)&gt;0),"FAIL — Direct-pay amount present but mode is DBT",IF(AND(NM_PAY="Direct institutional payment",N(C18)&gt;0),"WARNING — reimbursement claims present but mode is Direct pay","OK"))</f>
        <v/>
      </c>
    </row>
    <row r="28">
      <c r="A28" s="5" t="inlineStr">
        <is>
          <t>T5</t>
        </is>
      </c>
      <c r="B28" s="5" t="inlineStr">
        <is>
          <t>Other assistance cannot exceed gross base</t>
        </is>
      </c>
      <c r="C28" s="6">
        <f>IF(N(NM_OAMT)&gt;N(C9)+0.005,"FAIL — other assistance exceeds tuition/HI base","OK")</f>
        <v/>
      </c>
    </row>
    <row r="29">
      <c r="A29" s="5" t="inlineStr">
        <is>
          <t>T6</t>
        </is>
      </c>
      <c r="B29" s="5" t="inlineStr">
        <is>
          <t>Withdrawal recorded</t>
        </is>
      </c>
      <c r="C29" s="6">
        <f>IF(09_AnnexVIII_Withdraw!C12="","NA","REVIEW — withdrawal on file, check recovery")</f>
        <v/>
      </c>
    </row>
    <row r="30">
      <c r="A30" s="5" t="inlineStr">
        <is>
          <t>T7</t>
        </is>
      </c>
      <c r="B30" s="5" t="inlineStr">
        <is>
          <t>Annex-VI currency vs Master tuition currency</t>
        </is>
      </c>
      <c r="C30" s="6">
        <f>IF(N(C19)=0,"NA",IF(07_AnnexVI_DirectPay!C14="","PENDING currency on Annex-VI",IF(07_AnnexVI_DirectPay!C14=NM_TCUR,"OK","WARNING — currency differs from Master")))</f>
        <v/>
      </c>
    </row>
    <row r="32">
      <c r="A32" s="5" t="inlineStr">
        <is>
          <t>D. Office-use adjustment (optional)</t>
        </is>
      </c>
    </row>
    <row r="33">
      <c r="B33" s="5" t="inlineStr">
        <is>
          <t>Office-noted refund already recovered</t>
        </is>
      </c>
      <c r="C33" s="5" t="n">
        <v>0</v>
      </c>
    </row>
    <row r="34">
      <c r="B34" s="5" t="inlineStr">
        <is>
          <t>Office-noted additional admissible FX variation (6.2.1.3)</t>
        </is>
      </c>
      <c r="C34" s="5" t="n">
        <v>0</v>
      </c>
    </row>
    <row r="35">
      <c r="B35" s="5" t="inlineStr">
        <is>
          <t>Working net after office adjustments</t>
        </is>
      </c>
      <c r="C35" s="6">
        <f>N(C21)+N(C34)-N(C33)</f>
        <v/>
      </c>
    </row>
    <row r="38">
      <c r="B38" s="5" t="inlineStr">
        <is>
          <t>Gross support</t>
        </is>
      </c>
      <c r="C38" s="6">
        <f>C11</f>
        <v/>
      </c>
    </row>
    <row r="39">
      <c r="B39" s="5" t="inlineStr">
        <is>
          <t>Other assistance</t>
        </is>
      </c>
      <c r="C39" s="6">
        <f>NM_OAMT</f>
        <v/>
      </c>
    </row>
    <row r="40">
      <c r="B40" s="5" t="inlineStr">
        <is>
          <t>Net admissible</t>
        </is>
      </c>
      <c r="C40" s="6">
        <f>C12</f>
        <v/>
      </c>
    </row>
    <row r="41">
      <c r="B41" s="5" t="inlineStr">
        <is>
          <t>Claims admissible</t>
        </is>
      </c>
      <c r="C41" s="6">
        <f>C18</f>
        <v/>
      </c>
    </row>
    <row r="42">
      <c r="B42" s="5" t="inlineStr">
        <is>
          <t>Direct pay proposed</t>
        </is>
      </c>
      <c r="C42" s="6">
        <f>C19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15">
    <mergeCell ref="A4:H4"/>
    <mergeCell ref="A3:H3"/>
    <mergeCell ref="C28:E28"/>
    <mergeCell ref="C29:E29"/>
    <mergeCell ref="C27:E27"/>
    <mergeCell ref="C30:E30"/>
    <mergeCell ref="A2:H2"/>
    <mergeCell ref="C26:E26"/>
    <mergeCell ref="A14:H14"/>
    <mergeCell ref="C25:E25"/>
    <mergeCell ref="A1:H1"/>
    <mergeCell ref="A23:H23"/>
    <mergeCell ref="A32:H32"/>
    <mergeCell ref="A6:H6"/>
    <mergeCell ref="C24:E24"/>
  </mergeCells>
  <pageMargins left="0.75" right="0.75" top="1" bottom="1" header="0.5" footer="0.5"/>
  <pageSetup orientation="landscape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72" customWidth="1" min="4" max="4"/>
    <col width="22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12  •  ERROR AND WARNING REGISTER</t>
        </is>
      </c>
    </row>
    <row r="4">
      <c r="A4" s="4" t="inlineStr">
        <is>
          <t>A READY filing requires ERROR count = 0. Warnings should be reviewed but do not block the gate.</t>
        </is>
      </c>
    </row>
    <row r="5">
      <c r="A5" s="5" t="inlineStr">
        <is>
          <t>Counters</t>
        </is>
      </c>
    </row>
    <row r="6">
      <c r="B6" s="5" t="inlineStr">
        <is>
          <t>ERROR count</t>
        </is>
      </c>
      <c r="C6" s="6">
        <f>COUNTIF(C16:C70,"ERROR")</f>
        <v/>
      </c>
      <c r="F6" s="6">
        <f>IF(C8=0,"Yes","No — see Master column E")</f>
        <v/>
      </c>
    </row>
    <row r="7">
      <c r="B7" s="5" t="inlineStr">
        <is>
          <t>WARNING count</t>
        </is>
      </c>
      <c r="C7" s="6">
        <f>COUNTIF(C16:C70,"WARNING")</f>
        <v/>
      </c>
    </row>
    <row r="8">
      <c r="B8" s="5" t="inlineStr">
        <is>
          <t>Blocking Master live-checks</t>
        </is>
      </c>
      <c r="C8" s="6">
        <f>COUNTIF(02_MasterData!E7:E83,"MISSING")+SUMPRODUCT(--ISNUMBER(SEARCH("INELIGIBLE",02_MasterData!E7:E83)))+SUMPRODUCT(--ISNUMBER(SEARCH("MUST",02_MasterData!E7:E83)))+SUMPRODUCT(--ISNUMBER(SEARCH("MISSING ",02_MasterData!E7:E83)))</f>
        <v/>
      </c>
    </row>
    <row r="9">
      <c r="B9" s="5" t="inlineStr">
        <is>
          <t>Eligibility result</t>
        </is>
      </c>
      <c r="C9" s="6">
        <f>10_Eligibility!C6</f>
        <v/>
      </c>
    </row>
    <row r="10">
      <c r="B10" s="5" t="inlineStr">
        <is>
          <t>Document checklist</t>
        </is>
      </c>
      <c r="C10" s="6">
        <f>13_Documents!C5</f>
        <v/>
      </c>
    </row>
    <row r="11">
      <c r="B11" s="5" t="inlineStr">
        <is>
          <t>Annex-III</t>
        </is>
      </c>
      <c r="C11" s="6">
        <f>04_AnnexIII_Undertaking!C40</f>
        <v/>
      </c>
    </row>
    <row r="12">
      <c r="B12" s="5" t="inlineStr">
        <is>
          <t>READY equivalent</t>
        </is>
      </c>
      <c r="C12" s="6">
        <f>IF(AND(C6=0,10_Eligibility!C6="ELIGIBLE",13_Documents!C5="COMPLETE"),"READY TO SUBMIT","NOT READY")</f>
        <v/>
      </c>
    </row>
    <row r="14">
      <c r="A14" s="5" t="inlineStr">
        <is>
          <t>#</t>
        </is>
      </c>
      <c r="B14" s="5" t="inlineStr">
        <is>
          <t>Source</t>
        </is>
      </c>
      <c r="C14" s="5" t="inlineStr">
        <is>
          <t>Class</t>
        </is>
      </c>
      <c r="D14" s="5" t="inlineStr">
        <is>
          <t>Message</t>
        </is>
      </c>
      <c r="E14" s="5" t="inlineStr">
        <is>
          <t>Related field</t>
        </is>
      </c>
    </row>
    <row r="16">
      <c r="A16" s="5" t="n">
        <v>1</v>
      </c>
      <c r="B16" s="5" t="inlineStr">
        <is>
          <t>Master E8</t>
        </is>
      </c>
      <c r="C16" s="6">
        <f>IF(02_MasterData!E8="OK","OK",IF(OR(02_MasterData!E8="",02_MasterData!E8="—",02_MasterData!E8="Optional",02_MasterData!E8="NA"),"OK",IF(ISNUMBER(SEARCH("WARNING",02_MasterData!E8)),"WARNING","ERROR")))</f>
        <v/>
      </c>
      <c r="D16" s="6">
        <f>IF(OR(C16="OK",C16="NA"),"","Name — "&amp;02_MasterData!E8)</f>
        <v/>
      </c>
      <c r="E16" s="5" t="inlineStr">
        <is>
          <t>APP.NAME</t>
        </is>
      </c>
    </row>
    <row r="17">
      <c r="A17" s="5" t="n">
        <v>2</v>
      </c>
      <c r="B17" s="5" t="inlineStr">
        <is>
          <t>Master E9</t>
        </is>
      </c>
      <c r="C17" s="6">
        <f>IF(02_MasterData!E9="OK","OK",IF(OR(02_MasterData!E9="",02_MasterData!E9="—",02_MasterData!E9="Optional",02_MasterData!E9="NA"),"OK",IF(ISNUMBER(SEARCH("WARNING",02_MasterData!E9)),"WARNING","ERROR")))</f>
        <v/>
      </c>
      <c r="D17" s="6">
        <f>IF(OR(C17="OK",C17="NA"),"","Date of birth — "&amp;02_MasterData!E9)</f>
        <v/>
      </c>
      <c r="E17" s="5" t="inlineStr">
        <is>
          <t>APP.DOB</t>
        </is>
      </c>
    </row>
    <row r="18">
      <c r="A18" s="5" t="n">
        <v>3</v>
      </c>
      <c r="B18" s="5" t="inlineStr">
        <is>
          <t>Master E11</t>
        </is>
      </c>
      <c r="C18" s="6">
        <f>IF(02_MasterData!E11="OK","OK",IF(OR(02_MasterData!E11="",02_MasterData!E11="—",02_MasterData!E11="Optional",02_MasterData!E11="NA"),"OK",IF(ISNUMBER(SEARCH("WARNING",02_MasterData!E11)),"WARNING","ERROR")))</f>
        <v/>
      </c>
      <c r="D18" s="6">
        <f>IF(OR(C18="OK",C18="NA"),"","Mobile — "&amp;02_MasterData!E11)</f>
        <v/>
      </c>
      <c r="E18" s="5" t="inlineStr">
        <is>
          <t>APP.MOB</t>
        </is>
      </c>
    </row>
    <row r="19">
      <c r="A19" s="5" t="n">
        <v>4</v>
      </c>
      <c r="B19" s="5" t="inlineStr">
        <is>
          <t>Master E12</t>
        </is>
      </c>
      <c r="C19" s="6">
        <f>IF(02_MasterData!E12="OK","OK",IF(OR(02_MasterData!E12="",02_MasterData!E12="—",02_MasterData!E12="Optional",02_MasterData!E12="NA"),"OK",IF(ISNUMBER(SEARCH("WARNING",02_MasterData!E12)),"WARNING","ERROR")))</f>
        <v/>
      </c>
      <c r="D19" s="6">
        <f>IF(OR(C19="OK",C19="NA"),"","Email — "&amp;02_MasterData!E12)</f>
        <v/>
      </c>
      <c r="E19" s="5" t="inlineStr">
        <is>
          <t>APP.MAIL</t>
        </is>
      </c>
    </row>
    <row r="20">
      <c r="A20" s="5" t="n">
        <v>5</v>
      </c>
      <c r="B20" s="5" t="inlineStr">
        <is>
          <t>Master E13</t>
        </is>
      </c>
      <c r="C20" s="6">
        <f>IF(02_MasterData!E13="OK","OK",IF(OR(02_MasterData!E13="",02_MasterData!E13="—",02_MasterData!E13="Optional",02_MasterData!E13="NA"),"OK",IF(ISNUMBER(SEARCH("WARNING",02_MasterData!E13)),"WARNING","ERROR")))</f>
        <v/>
      </c>
      <c r="D20" s="6">
        <f>IF(OR(C20="OK",C20="NA"),"","ID — "&amp;02_MasterData!E13)</f>
        <v/>
      </c>
      <c r="E20" s="5" t="inlineStr">
        <is>
          <t>APP.UID</t>
        </is>
      </c>
    </row>
    <row r="21">
      <c r="A21" s="5" t="n">
        <v>6</v>
      </c>
      <c r="B21" s="5" t="inlineStr">
        <is>
          <t>Master E14</t>
        </is>
      </c>
      <c r="C21" s="6">
        <f>IF(02_MasterData!E14="OK","OK",IF(OR(02_MasterData!E14="",02_MasterData!E14="—",02_MasterData!E14="Optional",02_MasterData!E14="NA"),"OK",IF(ISNUMBER(SEARCH("WARNING",02_MasterData!E14)),"WARNING","ERROR")))</f>
        <v/>
      </c>
      <c r="D21" s="6">
        <f>IF(OR(C21="OK",C21="NA"),"","Address — "&amp;02_MasterData!E14)</f>
        <v/>
      </c>
      <c r="E21" s="5" t="inlineStr">
        <is>
          <t>APP.ADDR</t>
        </is>
      </c>
    </row>
    <row r="22">
      <c r="A22" s="5" t="n">
        <v>7</v>
      </c>
      <c r="B22" s="5" t="inlineStr">
        <is>
          <t>Master E15</t>
        </is>
      </c>
      <c r="C22" s="6">
        <f>IF(02_MasterData!E15="OK","OK",IF(OR(02_MasterData!E15="",02_MasterData!E15="—",02_MasterData!E15="Optional",02_MasterData!E15="NA"),"OK",IF(ISNUMBER(SEARCH("WARNING",02_MasterData!E15)),"WARNING","ERROR")))</f>
        <v/>
      </c>
      <c r="D22" s="6">
        <f>IF(OR(C22="OK",C22="NA"),"","District — "&amp;02_MasterData!E15)</f>
        <v/>
      </c>
      <c r="E22" s="5" t="inlineStr">
        <is>
          <t>APP.DIST</t>
        </is>
      </c>
    </row>
    <row r="23">
      <c r="A23" s="5" t="n">
        <v>8</v>
      </c>
      <c r="B23" s="5" t="inlineStr">
        <is>
          <t>Master E16</t>
        </is>
      </c>
      <c r="C23" s="6">
        <f>IF(02_MasterData!E16="OK","OK",IF(OR(02_MasterData!E16="",02_MasterData!E16="—",02_MasterData!E16="Optional",02_MasterData!E16="NA"),"OK",IF(ISNUMBER(SEARCH("WARNING",02_MasterData!E16)),"WARNING","ERROR")))</f>
        <v/>
      </c>
      <c r="D23" s="6">
        <f>IF(OR(C23="OK",C23="NA"),"","PIN — "&amp;02_MasterData!E16)</f>
        <v/>
      </c>
      <c r="E23" s="5" t="inlineStr">
        <is>
          <t>APP.PIN</t>
        </is>
      </c>
    </row>
    <row r="24">
      <c r="A24" s="5" t="n">
        <v>9</v>
      </c>
      <c r="B24" s="5" t="inlineStr">
        <is>
          <t>Master E17</t>
        </is>
      </c>
      <c r="C24" s="6">
        <f>IF(02_MasterData!E17="OK","OK",IF(OR(02_MasterData!E17="",02_MasterData!E17="—",02_MasterData!E17="Optional",02_MasterData!E17="NA"),"OK",IF(ISNUMBER(SEARCH("WARNING",02_MasterData!E17)),"WARNING","ERROR")))</f>
        <v/>
      </c>
      <c r="D24" s="6">
        <f>IF(OR(C24="OK",C24="NA"),"","Orphan flag — "&amp;02_MasterData!E17)</f>
        <v/>
      </c>
      <c r="E24" s="5" t="inlineStr">
        <is>
          <t>APP.ORPH</t>
        </is>
      </c>
    </row>
    <row r="25">
      <c r="A25" s="5" t="n">
        <v>10</v>
      </c>
      <c r="B25" s="5" t="inlineStr">
        <is>
          <t>Master E20</t>
        </is>
      </c>
      <c r="C25" s="6">
        <f>IF(02_MasterData!E20="OK","OK",IF(OR(02_MasterData!E20="",02_MasterData!E20="—",02_MasterData!E20="Optional",02_MasterData!E20="NA"),"OK",IF(ISNUMBER(SEARCH("WARNING",02_MasterData!E20)),"WARNING","ERROR")))</f>
        <v/>
      </c>
      <c r="D25" s="6">
        <f>IF(OR(C25="OK",C25="NA"),"","School — "&amp;02_MasterData!E20)</f>
        <v/>
      </c>
      <c r="E25" s="5" t="inlineStr">
        <is>
          <t>EDU.SCH</t>
        </is>
      </c>
    </row>
    <row r="26">
      <c r="A26" s="5" t="n">
        <v>11</v>
      </c>
      <c r="B26" s="5" t="inlineStr">
        <is>
          <t>Master E23</t>
        </is>
      </c>
      <c r="C26" s="6">
        <f>IF(02_MasterData!E23="OK","OK",IF(OR(02_MasterData!E23="",02_MasterData!E23="—",02_MasterData!E23="Optional",02_MasterData!E23="NA"),"OK",IF(ISNUMBER(SEARCH("WARNING",02_MasterData!E23)),"WARNING","ERROR")))</f>
        <v/>
      </c>
      <c r="D26" s="6">
        <f>IF(OR(C26="OK",C26="NA"),"","Class X year — "&amp;02_MasterData!E23)</f>
        <v/>
      </c>
      <c r="E26" s="5" t="inlineStr">
        <is>
          <t>EDU.X</t>
        </is>
      </c>
    </row>
    <row r="27">
      <c r="A27" s="5" t="n">
        <v>12</v>
      </c>
      <c r="B27" s="5" t="inlineStr">
        <is>
          <t>Master E24</t>
        </is>
      </c>
      <c r="C27" s="6">
        <f>IF(02_MasterData!E24="OK","OK",IF(OR(02_MasterData!E24="",02_MasterData!E24="—",02_MasterData!E24="Optional",02_MasterData!E24="NA"),"OK",IF(ISNUMBER(SEARCH("WARNING",02_MasterData!E24)),"WARNING","ERROR")))</f>
        <v/>
      </c>
      <c r="D27" s="6">
        <f>IF(OR(C27="OK",C27="NA"),"","Class XII year — "&amp;02_MasterData!E24)</f>
        <v/>
      </c>
      <c r="E27" s="5" t="inlineStr">
        <is>
          <t>EDU.XII</t>
        </is>
      </c>
    </row>
    <row r="28">
      <c r="A28" s="5" t="n">
        <v>13</v>
      </c>
      <c r="B28" s="5" t="inlineStr">
        <is>
          <t>Master E25</t>
        </is>
      </c>
      <c r="C28" s="6">
        <f>IF(02_MasterData!E25="OK","OK",IF(OR(02_MasterData!E25="",02_MasterData!E25="—",02_MasterData!E25="Optional",02_MasterData!E25="NA"),"OK",IF(ISNUMBER(SEARCH("WARNING",02_MasterData!E25)),"WARNING","ERROR")))</f>
        <v/>
      </c>
      <c r="D28" s="6">
        <f>IF(OR(C28="OK",C28="NA"),"","Mode of study — "&amp;02_MasterData!E25)</f>
        <v/>
      </c>
      <c r="E28" s="5" t="inlineStr">
        <is>
          <t>EDU.MODE</t>
        </is>
      </c>
    </row>
    <row r="29">
      <c r="A29" s="5" t="n">
        <v>14</v>
      </c>
      <c r="B29" s="5" t="inlineStr">
        <is>
          <t>Master E31</t>
        </is>
      </c>
      <c r="C29" s="6">
        <f>IF(02_MasterData!E31="OK","OK",IF(OR(02_MasterData!E31="",02_MasterData!E31="—",02_MasterData!E31="Optional",02_MasterData!E31="NA"),"OK",IF(ISNUMBER(SEARCH("WARNING",02_MasterData!E31)),"WARNING","ERROR")))</f>
        <v/>
      </c>
      <c r="D29" s="6">
        <f>IF(OR(C29="OK",C29="NA"),"","EPIC — "&amp;02_MasterData!E31)</f>
        <v/>
      </c>
      <c r="E29" s="5" t="inlineStr">
        <is>
          <t>ELC.EPIC</t>
        </is>
      </c>
    </row>
    <row r="30">
      <c r="A30" s="5" t="n">
        <v>15</v>
      </c>
      <c r="B30" s="5" t="inlineStr">
        <is>
          <t>Master E35</t>
        </is>
      </c>
      <c r="C30" s="6">
        <f>IF(02_MasterData!E35="OK","OK",IF(OR(02_MasterData!E35="",02_MasterData!E35="—",02_MasterData!E35="Optional",02_MasterData!E35="NA"),"OK",IF(ISNUMBER(SEARCH("WARNING",02_MasterData!E35)),"WARNING","ERROR")))</f>
        <v/>
      </c>
      <c r="D30" s="6">
        <f>IF(OR(C30="OK",C30="NA"),"","Component — "&amp;02_MasterData!E35)</f>
        <v/>
      </c>
      <c r="E30" s="5" t="inlineStr">
        <is>
          <t>ADM.COMP</t>
        </is>
      </c>
    </row>
    <row r="31">
      <c r="A31" s="5" t="n">
        <v>16</v>
      </c>
      <c r="B31" s="5" t="inlineStr">
        <is>
          <t>Master E38</t>
        </is>
      </c>
      <c r="C31" s="6">
        <f>IF(02_MasterData!E38="OK","OK",IF(OR(02_MasterData!E38="",02_MasterData!E38="—",02_MasterData!E38="Optional",02_MasterData!E38="NA"),"OK",IF(ISNUMBER(SEARCH("WARNING",02_MasterData!E38)),"WARNING","ERROR")))</f>
        <v/>
      </c>
      <c r="D31" s="6">
        <f>IF(OR(C31="OK",C31="NA"),"","Country — "&amp;02_MasterData!E38)</f>
        <v/>
      </c>
      <c r="E31" s="5" t="inlineStr">
        <is>
          <t>ADM.CTRY</t>
        </is>
      </c>
    </row>
    <row r="32">
      <c r="A32" s="5" t="n">
        <v>17</v>
      </c>
      <c r="B32" s="5" t="inlineStr">
        <is>
          <t>SYS.COMPOK</t>
        </is>
      </c>
      <c r="C32" s="6">
        <f>IF(02_MasterData!C91="","OK",IF(02_MasterData!C91="Yes","OK","ERROR"))</f>
        <v/>
      </c>
      <c r="D32" s="6">
        <f>IF(C32="OK","","Component vs country inconsistent")</f>
        <v/>
      </c>
      <c r="E32" s="5" t="inlineStr">
        <is>
          <t>SYS.COMPOK</t>
        </is>
      </c>
    </row>
    <row r="33">
      <c r="A33" s="5" t="n">
        <v>18</v>
      </c>
      <c r="B33" s="5" t="inlineStr">
        <is>
          <t>Master E42</t>
        </is>
      </c>
      <c r="C33" s="6">
        <f>IF(02_MasterData!E42="OK","OK",IF(OR(02_MasterData!E42="",02_MasterData!E42="—",02_MasterData!E42="Optional",02_MasterData!E42="NA"),"OK",IF(ISNUMBER(SEARCH("WARNING",02_MasterData!E42)),"WARNING","ERROR")))</f>
        <v/>
      </c>
      <c r="D33" s="6">
        <f>IF(OR(C33="OK",C33="NA"),"","Date of admission — "&amp;02_MasterData!E42)</f>
        <v/>
      </c>
      <c r="E33" s="5" t="inlineStr">
        <is>
          <t>ADM.DT</t>
        </is>
      </c>
    </row>
    <row r="34">
      <c r="A34" s="5" t="n">
        <v>19</v>
      </c>
      <c r="B34" s="5" t="inlineStr">
        <is>
          <t>Master E46</t>
        </is>
      </c>
      <c r="C34" s="6">
        <f>IF(02_MasterData!E46="OK","OK",IF(OR(02_MasterData!E46="",02_MasterData!E46="—",02_MasterData!E46="Optional",02_MasterData!E46="NA"),"OK",IF(ISNUMBER(SEARCH("WARNING",02_MasterData!E46)),"WARNING","ERROR")))</f>
        <v/>
      </c>
      <c r="D34" s="6">
        <f>IF(OR(C34="OK",C34="NA"),"","Full-time — "&amp;02_MasterData!E46)</f>
        <v/>
      </c>
      <c r="E34" s="5" t="inlineStr">
        <is>
          <t>ADM.FT</t>
        </is>
      </c>
    </row>
    <row r="35">
      <c r="A35" s="5" t="n">
        <v>20</v>
      </c>
      <c r="B35" s="5" t="inlineStr">
        <is>
          <t>Master E47</t>
        </is>
      </c>
      <c r="C35" s="6">
        <f>IF(02_MasterData!E47="OK","OK",IF(OR(02_MasterData!E47="",02_MasterData!E47="—",02_MasterData!E47="Optional",02_MasterData!E47="NA"),"OK",IF(ISNUMBER(SEARCH("WARNING",02_MasterData!E47)),"WARNING","ERROR")))</f>
        <v/>
      </c>
      <c r="D35" s="6">
        <f>IF(OR(C35="OK",C35="NA"),"","Residential — "&amp;02_MasterData!E47)</f>
        <v/>
      </c>
      <c r="E35" s="5" t="inlineStr">
        <is>
          <t>ADM.RES</t>
        </is>
      </c>
    </row>
    <row r="36">
      <c r="A36" s="5" t="n">
        <v>21</v>
      </c>
      <c r="B36" s="5" t="inlineStr">
        <is>
          <t>Master E50</t>
        </is>
      </c>
      <c r="C36" s="6">
        <f>IF(02_MasterData!E50="OK","OK",IF(OR(02_MasterData!E50="",02_MasterData!E50="—",02_MasterData!E50="Optional",02_MasterData!E50="NA"),"OK",IF(ISNUMBER(SEARCH("WARNING",02_MasterData!E50)),"WARNING","ERROR")))</f>
        <v/>
      </c>
      <c r="D36" s="6">
        <f>IF(OR(C36="OK",C36="NA"),"","Category — "&amp;02_MasterData!E50)</f>
        <v/>
      </c>
      <c r="E36" s="5" t="inlineStr">
        <is>
          <t>ELG.CAT</t>
        </is>
      </c>
    </row>
    <row r="37">
      <c r="A37" s="5" t="n">
        <v>22</v>
      </c>
      <c r="B37" s="5" t="inlineStr">
        <is>
          <t>Master E52</t>
        </is>
      </c>
      <c r="C37" s="6">
        <f>IF(02_MasterData!E52="OK","OK",IF(OR(02_MasterData!E52="",02_MasterData!E52="—",02_MasterData!E52="Optional",02_MasterData!E52="NA"),"OK",IF(ISNUMBER(SEARCH("WARNING",02_MasterData!E52)),"WARNING","ERROR")))</f>
        <v/>
      </c>
      <c r="D37" s="6">
        <f>IF(OR(C37="OK",C37="NA"),"","Rank — "&amp;02_MasterData!E52)</f>
        <v/>
      </c>
      <c r="E37" s="5" t="inlineStr">
        <is>
          <t>ELG.RNK</t>
        </is>
      </c>
    </row>
    <row r="38">
      <c r="A38" s="5" t="n">
        <v>23</v>
      </c>
      <c r="B38" s="5" t="inlineStr">
        <is>
          <t>Master E54</t>
        </is>
      </c>
      <c r="C38" s="6">
        <f>IF(02_MasterData!E54="OK","OK",IF(OR(02_MasterData!E54="",02_MasterData!E54="—",02_MasterData!E54="Optional",02_MasterData!E54="NA"),"OK",IF(ISNUMBER(SEARCH("WARNING",02_MasterData!E54)),"WARNING","ERROR")))</f>
        <v/>
      </c>
      <c r="D38" s="6">
        <f>IF(OR(C38="OK",C38="NA"),"","Private-domestic — "&amp;02_MasterData!E54)</f>
        <v/>
      </c>
      <c r="E38" s="5" t="inlineStr">
        <is>
          <t>ELG.PVT</t>
        </is>
      </c>
    </row>
    <row r="39">
      <c r="A39" s="5" t="n">
        <v>24</v>
      </c>
      <c r="B39" s="5" t="inlineStr">
        <is>
          <t>Master E57</t>
        </is>
      </c>
      <c r="C39" s="6">
        <f>IF(02_MasterData!E57="OK","OK",IF(OR(02_MasterData!E57="",02_MasterData!E57="—",02_MasterData!E57="Optional",02_MasterData!E57="NA"),"OK",IF(ISNUMBER(SEARCH("WARNING",02_MasterData!E57)),"WARNING","ERROR")))</f>
        <v/>
      </c>
      <c r="D39" s="6">
        <f>IF(OR(C39="OK",C39="NA"),"","Payment mode — "&amp;02_MasterData!E57)</f>
        <v/>
      </c>
      <c r="E39" s="5" t="inlineStr">
        <is>
          <t>FEE.MODE</t>
        </is>
      </c>
    </row>
    <row r="40">
      <c r="A40" s="5" t="n">
        <v>25</v>
      </c>
      <c r="B40" s="5" t="inlineStr">
        <is>
          <t>Master E58</t>
        </is>
      </c>
      <c r="C40" s="6">
        <f>IF(02_MasterData!E58="OK","OK",IF(OR(02_MasterData!E58="",02_MasterData!E58="—",02_MasterData!E58="Optional",02_MasterData!E58="NA"),"OK",IF(ISNUMBER(SEARCH("WARNING",02_MasterData!E58)),"WARNING","ERROR")))</f>
        <v/>
      </c>
      <c r="D40" s="6">
        <f>IF(OR(C40="OK",C40="NA"),"","Tuition — "&amp;02_MasterData!E58)</f>
        <v/>
      </c>
      <c r="E40" s="5" t="inlineStr">
        <is>
          <t>FEE.TUIT</t>
        </is>
      </c>
    </row>
    <row r="41">
      <c r="A41" s="5" t="n">
        <v>26</v>
      </c>
      <c r="B41" s="5" t="inlineStr">
        <is>
          <t>Master E60</t>
        </is>
      </c>
      <c r="C41" s="6">
        <f>IF(02_MasterData!E60="OK","OK",IF(OR(02_MasterData!E60="",02_MasterData!E60="—",02_MasterData!E60="Optional",02_MasterData!E60="NA"),"OK",IF(ISNUMBER(SEARCH("WARNING",02_MasterData!E60)),"WARNING","ERROR")))</f>
        <v/>
      </c>
      <c r="D41" s="6">
        <f>IF(OR(C41="OK",C41="NA"),"","Health insurance — "&amp;02_MasterData!E60)</f>
        <v/>
      </c>
      <c r="E41" s="5" t="inlineStr">
        <is>
          <t>FEE.HI</t>
        </is>
      </c>
    </row>
    <row r="42">
      <c r="A42" s="5" t="n">
        <v>27</v>
      </c>
      <c r="B42" s="5" t="inlineStr">
        <is>
          <t>Master E64</t>
        </is>
      </c>
      <c r="C42" s="6">
        <f>IF(02_MasterData!E64="OK","OK",IF(OR(02_MasterData!E64="",02_MasterData!E64="—",02_MasterData!E64="Optional",02_MasterData!E64="NA"),"OK",IF(ISNUMBER(SEARCH("WARNING",02_MasterData!E64)),"WARNING","ERROR")))</f>
        <v/>
      </c>
      <c r="D42" s="6">
        <f>IF(OR(C42="OK",C42="NA"),"","Other assistance amount — "&amp;02_MasterData!E64)</f>
        <v/>
      </c>
      <c r="E42" s="5" t="inlineStr">
        <is>
          <t>FEE.OAMT</t>
        </is>
      </c>
    </row>
    <row r="43">
      <c r="A43" s="5" t="n">
        <v>28</v>
      </c>
      <c r="B43" s="5" t="inlineStr">
        <is>
          <t>Master bank</t>
        </is>
      </c>
      <c r="C43" s="6">
        <f>IF(AND(02_MasterData!E67="NA",02_MasterData!E71="NA"),"NA",IF(OR(ISNUMBER(SEARCH("MISSING",02_MasterData!E67)),ISNUMBER(SEARCH("MISSING",02_MasterData!E71)),ISNUMBER(SEARCH("IFSC",02_MasterData!E71))),"ERROR","OK"))</f>
        <v/>
      </c>
      <c r="D43" s="6">
        <f>IF(OR(C43="OK",C43="NA"),"","DBT bank details incomplete / IFSC invalid")</f>
        <v/>
      </c>
      <c r="E43" s="5" t="inlineStr">
        <is>
          <t>BNK.*</t>
        </is>
      </c>
    </row>
    <row r="44">
      <c r="A44" s="5" t="n">
        <v>29</v>
      </c>
      <c r="B44" s="5" t="inlineStr">
        <is>
          <t>Master E74</t>
        </is>
      </c>
      <c r="C44" s="6">
        <f>IF(02_MasterData!E74="OK","OK",IF(OR(02_MasterData!E74="",02_MasterData!E74="—",02_MasterData!E74="Optional",02_MasterData!E74="NA"),"OK",IF(ISNUMBER(SEARCH("WARNING",02_MasterData!E74)),"WARNING","ERROR")))</f>
        <v/>
      </c>
      <c r="D44" s="6">
        <f>IF(OR(C44="OK",C44="NA"),"","Prior SVMS — "&amp;02_MasterData!E74)</f>
        <v/>
      </c>
      <c r="E44" s="5" t="inlineStr">
        <is>
          <t>SCH.SVMS</t>
        </is>
      </c>
    </row>
    <row r="45">
      <c r="A45" s="5" t="n">
        <v>30</v>
      </c>
      <c r="B45" s="5" t="inlineStr">
        <is>
          <t>Master E75</t>
        </is>
      </c>
      <c r="C45" s="6">
        <f>IF(02_MasterData!E75="OK","OK",IF(OR(02_MasterData!E75="",02_MasterData!E75="—",02_MasterData!E75="Optional",02_MasterData!E75="NA"),"OK",IF(ISNUMBER(SEARCH("WARNING",02_MasterData!E75)),"WARNING","ERROR")))</f>
        <v/>
      </c>
      <c r="D45" s="6">
        <f>IF(OR(C45="OK",C45="NA"),"","BNUB — "&amp;02_MasterData!E75)</f>
        <v/>
      </c>
      <c r="E45" s="5" t="inlineStr">
        <is>
          <t>SCH.BNUB</t>
        </is>
      </c>
    </row>
    <row r="46">
      <c r="A46" s="5" t="n">
        <v>31</v>
      </c>
      <c r="B46" s="5" t="inlineStr">
        <is>
          <t>Declarations</t>
        </is>
      </c>
      <c r="C46" s="6">
        <f>IF(AND(02_MasterData!E79="OK",02_MasterData!E80="OK",02_MasterData!E81="OK"),"OK","ERROR")</f>
        <v/>
      </c>
      <c r="D46" s="6">
        <f>IF(C46="OK","","Annex-II declarations not all Yes")</f>
        <v/>
      </c>
      <c r="E46" s="5" t="inlineStr">
        <is>
          <t>DEC.*</t>
        </is>
      </c>
    </row>
    <row r="47">
      <c r="A47" s="5" t="n">
        <v>32</v>
      </c>
      <c r="B47" s="5" t="inlineStr">
        <is>
          <t>Eligibility</t>
        </is>
      </c>
      <c r="C47" s="6">
        <f>IF(10_Eligibility!C6="ELIGIBLE","OK",IF(10_Eligibility!C6="PENDING DATA","WARNING","ERROR"))</f>
        <v/>
      </c>
      <c r="D47" s="6">
        <f>IF(C47="OK","","Eligibility engine: "&amp;10_Eligibility!C6)</f>
        <v/>
      </c>
      <c r="E47" s="5" t="inlineStr">
        <is>
          <t>10_Eligibility</t>
        </is>
      </c>
    </row>
    <row r="48">
      <c r="A48" s="5" t="n">
        <v>33</v>
      </c>
      <c r="B48" s="5" t="inlineStr">
        <is>
          <t>Support band</t>
        </is>
      </c>
      <c r="C48" s="6">
        <f>IF(NM_BAND="Not eligible","ERROR",IF(NM_BAND="","WARNING","OK"))</f>
        <v/>
      </c>
      <c r="D48" s="6">
        <f>IF(C48="OK","","Support band = "&amp;NM_BAND)</f>
        <v/>
      </c>
      <c r="E48" s="5" t="inlineStr">
        <is>
          <t>SYS.BAND</t>
        </is>
      </c>
    </row>
    <row r="49">
      <c r="A49" s="5" t="n">
        <v>34</v>
      </c>
      <c r="B49" s="5" t="inlineStr">
        <is>
          <t>Annex-IV</t>
        </is>
      </c>
      <c r="C49" s="6">
        <f>IF(COUNTA(05_AnnexIV_Renewal!G7:G18)=0,"NA",IF(COUNTIF(05_AnnexIV_Renewal!P7:P18,"ERROR*")&gt;0,"ERROR","OK"))</f>
        <v/>
      </c>
      <c r="D49" s="6">
        <f>IF(OR(C49="OK",C49="NA"),"","Continuation row(s) inconsistent")</f>
        <v/>
      </c>
      <c r="E49" s="5" t="inlineStr">
        <is>
          <t>05_AnnexIV</t>
        </is>
      </c>
    </row>
    <row r="50">
      <c r="A50" s="5" t="n">
        <v>35</v>
      </c>
      <c r="B50" s="5" t="inlineStr">
        <is>
          <t>Annex-V</t>
        </is>
      </c>
      <c r="C50" s="6">
        <f>IF(COUNTA(06_AnnexV_ReimbClaim!C7:C18)=0,"NA",IF(COUNTIF(06_AnnexV_ReimbClaim!P7:P18,"ERROR*")&gt;0,"ERROR",IF(COUNTIF(06_AnnexV_ReimbClaim!P7:P18,"WARNING*")&gt;0,"WARNING","OK")))</f>
        <v/>
      </c>
      <c r="D50" s="6">
        <f>IF(OR(C50="OK",C50="NA"),"","Reimbursement claim error / missing evidence")</f>
        <v/>
      </c>
      <c r="E50" s="5" t="inlineStr">
        <is>
          <t>06_AnnexV</t>
        </is>
      </c>
    </row>
    <row r="51">
      <c r="A51" s="5" t="n">
        <v>36</v>
      </c>
      <c r="B51" s="5" t="inlineStr">
        <is>
          <t>Annex-VI</t>
        </is>
      </c>
      <c r="C51" s="6">
        <f>IF(LEFT(07_AnnexVI_DirectPay!C53,2)="NA","NA",IF(ISNUMBER(SEARCH("ERROR",07_AnnexVI_DirectPay!C53)),"ERROR",IF(07_AnnexVI_DirectPay!C53="IN ORDER","OK","WARNING")))</f>
        <v/>
      </c>
      <c r="D51" s="6">
        <f>IF(OR(C51="OK",C51="NA"),"",07_AnnexVI_DirectPay!C53)</f>
        <v/>
      </c>
      <c r="E51" s="5" t="inlineStr">
        <is>
          <t>07_AnnexVI</t>
        </is>
      </c>
    </row>
    <row r="52">
      <c r="A52" s="5" t="n">
        <v>37</v>
      </c>
      <c r="B52" s="5" t="inlineStr">
        <is>
          <t>Annex-VII</t>
        </is>
      </c>
      <c r="C52" s="6">
        <f>IF(08_AnnexVII_Change!D23="NO REQUEST ENTERED","NA",IF(08_AnnexVII_Change!D23="IN ORDER","OK",IF(ISNUMBER(SEARCH("ERROR",08_AnnexVII_Change!D23)),"ERROR","WARNING")))</f>
        <v/>
      </c>
      <c r="D52" s="6">
        <f>IF(OR(C52="OK",C52="NA"),"",08_AnnexVII_Change!D23)</f>
        <v/>
      </c>
      <c r="E52" s="5" t="inlineStr">
        <is>
          <t>08_AnnexVII</t>
        </is>
      </c>
    </row>
    <row r="53">
      <c r="A53" s="5" t="n">
        <v>38</v>
      </c>
      <c r="B53" s="5" t="inlineStr">
        <is>
          <t>Annex-VIII</t>
        </is>
      </c>
      <c r="C53" s="6">
        <f>IF(09_AnnexVIII_Withdraw!C33="NO WITHDRAWAL RECORDED","NA",IF(ISNUMBER(SEARCH("ERROR",09_AnnexVIII_Withdraw!C33)),"ERROR","WARNING"))</f>
        <v/>
      </c>
      <c r="D53" s="6">
        <f>IF(OR(C53="OK",C53="NA"),"",09_AnnexVIII_Withdraw!C33)</f>
        <v/>
      </c>
      <c r="E53" s="5" t="inlineStr">
        <is>
          <t>09_AnnexVIII</t>
        </is>
      </c>
    </row>
    <row r="54">
      <c r="A54" s="5" t="n">
        <v>39</v>
      </c>
      <c r="B54" s="5" t="inlineStr">
        <is>
          <t>Recon T2/T4/T5</t>
        </is>
      </c>
      <c r="C54" s="6">
        <f>IF(OR(ISNUMBER(SEARCH("FAIL",11_Reconciliation!C25)),ISNUMBER(SEARCH("FAIL",11_Reconciliation!C27)),ISNUMBER(SEARCH("FAIL",11_Reconciliation!C28))),"ERROR",IF(OR(ISNUMBER(SEARCH("WARNING",11_Reconciliation!C24)),ISNUMBER(SEARCH("WARNING",11_Reconciliation!C26)),ISNUMBER(SEARCH("WARNING",11_Reconciliation!C27)),ISNUMBER(SEARCH("WARNING",11_Reconciliation!C30))),"WARNING","OK"))</f>
        <v/>
      </c>
      <c r="D54" s="6">
        <f>IF(C54="OK","","See 11_Reconciliation tests T1–T7")</f>
        <v/>
      </c>
      <c r="E54" s="5" t="inlineStr">
        <is>
          <t>11_Reconciliation</t>
        </is>
      </c>
    </row>
    <row r="55">
      <c r="A55" s="5" t="n">
        <v>40</v>
      </c>
      <c r="B55" s="5" t="inlineStr">
        <is>
          <t>Documents</t>
        </is>
      </c>
      <c r="C55" s="6">
        <f>IF(13_Documents!C5="COMPLETE","OK",IF(ISNUMBER(SEARCH("PENDING",13_Documents!C5)),"WARNING","ERROR"))</f>
        <v/>
      </c>
      <c r="D55" s="6">
        <f>IF(C55="OK","","Document checklist: "&amp;13_Documents!C5)</f>
        <v/>
      </c>
      <c r="E55" s="5" t="inlineStr">
        <is>
          <t>13_Documents</t>
        </is>
      </c>
    </row>
    <row r="56">
      <c r="A56" s="5" t="n">
        <v>41</v>
      </c>
      <c r="B56" s="5" t="inlineStr">
        <is>
          <t>Class X vs XII</t>
        </is>
      </c>
      <c r="C56" s="6">
        <f>IF(OR(NM_X="",NM_XII=""),"NA",IF(N(NM_XII)&lt;N(NM_X),"ERROR","OK"))</f>
        <v/>
      </c>
      <c r="D56" s="6">
        <f>IF(C56="ERROR","Class XII year is earlier than Class X year","")</f>
        <v/>
      </c>
      <c r="E56" s="5" t="inlineStr">
        <is>
          <t>EDU.X / EDU.XII</t>
        </is>
      </c>
    </row>
    <row r="57">
      <c r="A57" s="5" t="n">
        <v>42</v>
      </c>
      <c r="B57" s="5" t="inlineStr">
        <is>
          <t>Account holder vs scholar</t>
        </is>
      </c>
      <c r="C57" s="6">
        <f>IF(NM_PAY&lt;&gt;"DBT reimbursement","NA",IF(OR(NM_AH="",NM_NAME=""),"NA",IF(UPPER(TRIM(NM_AH))=UPPER(TRIM(NM_NAME)),"OK","WARNING")))</f>
        <v/>
      </c>
      <c r="D57" s="6">
        <f>IF(C57="WARNING","Account holder name does not exactly match scholar name","")</f>
        <v/>
      </c>
      <c r="E57" s="5" t="inlineStr">
        <is>
          <t>BNK.NM</t>
        </is>
      </c>
    </row>
    <row r="58">
      <c r="A58" s="5" t="n">
        <v>43</v>
      </c>
      <c r="B58" s="5" t="inlineStr">
        <is>
          <t>Lifetime vs Annex-III U5</t>
        </is>
      </c>
      <c r="C58" s="6">
        <f>IF(04_AnnexIII_Undertaking!C18="","NA",IF(AND(04_AnnexIII_Undertaking!C18="Yes",NM_SVMS="Yes"),"ERROR","OK"))</f>
        <v/>
      </c>
      <c r="D58" s="6">
        <f>IF(C58="ERROR","Annex-III lifetime clause conflicts with Master prior-SVMS = Yes","")</f>
        <v/>
      </c>
      <c r="E58" s="5" t="inlineStr">
        <is>
          <t>U5 / SCH.SVMS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5">
    <mergeCell ref="A1:H1"/>
    <mergeCell ref="A4:H4"/>
    <mergeCell ref="A3:H3"/>
    <mergeCell ref="A2:H2"/>
    <mergeCell ref="A5:H5"/>
  </mergeCells>
  <pageMargins left="0.75" right="0.75" top="1" bottom="1" header="0.5" footer="0.5"/>
  <pageSetup orientation="landscape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6" customWidth="1" min="1" max="1"/>
    <col width="64" customWidth="1" min="2" max="2"/>
    <col width="24" customWidth="1" min="3" max="3"/>
    <col width="22" customWidth="1" min="4" max="4"/>
    <col width="16" customWidth="1" min="5" max="5"/>
    <col width="40" customWidth="1" min="6" max="6"/>
    <col width="16" customWidth="1" min="7" max="7"/>
    <col width="16" customWidth="1" min="8" max="8"/>
  </cols>
  <sheetData>
    <row r="1" ht="22" customHeight="1">
      <c r="A1" s="1" t="inlineStr">
        <is>
          <t>GOVERNMENT OF WEST BENGAL  |  DEPARTMENT OF HIGHER EDUCATION</t>
        </is>
      </c>
    </row>
    <row r="2" ht="22" customHeight="1">
      <c r="A2" s="2" t="inlineStr">
        <is>
          <t>SWAMI VIVEKANANDA MERIT SCHOLARSHIP SCHEME (SVMS)</t>
        </is>
      </c>
    </row>
    <row r="3" ht="20" customHeight="1">
      <c r="A3" s="3" t="inlineStr">
        <is>
          <t>13  •  DOCUMENT CHECKLIST  (GUIDELINE 5.1 / ANNEXURE-II-H)</t>
        </is>
      </c>
    </row>
    <row r="4">
      <c r="A4" s="4" t="inlineStr">
        <is>
          <t>Mark status for every row. Mandatory rows cannot remain Not available.</t>
        </is>
      </c>
    </row>
    <row r="5">
      <c r="B5" s="5" t="inlineStr">
        <is>
          <t>CHECKLIST RESULT</t>
        </is>
      </c>
      <c r="C5" s="6">
        <f>IF(COUNTIF(C8:C20,"")&gt;0,"PENDING — mark every row",IF(COUNTIFS(E8:E20,"Yes",C8:C20,"Not available")&gt;0,"INCOMPLETE — mandatory document Not available","COMPLETE"))</f>
        <v/>
      </c>
    </row>
    <row r="7">
      <c r="A7" s="5" t="inlineStr">
        <is>
          <t>Sl.</t>
        </is>
      </c>
      <c r="B7" s="5" t="inlineStr">
        <is>
          <t>Document (as prescribed)</t>
        </is>
      </c>
      <c r="C7" s="5" t="inlineStr">
        <is>
          <t>Status *</t>
        </is>
      </c>
      <c r="D7" s="5" t="inlineStr">
        <is>
          <t>Reference / file name</t>
        </is>
      </c>
      <c r="E7" s="5" t="inlineStr">
        <is>
          <t>Mandatory?</t>
        </is>
      </c>
      <c r="F7" s="5" t="inlineStr">
        <is>
          <t>Applicability note</t>
        </is>
      </c>
    </row>
    <row r="8">
      <c r="A8" s="5" t="n">
        <v>1</v>
      </c>
      <c r="B8" s="5" t="inlineStr">
        <is>
          <t>Proof of admission / Offer Letter</t>
        </is>
      </c>
      <c r="C8" s="21" t="n"/>
      <c r="D8" s="21" t="n"/>
      <c r="E8" s="5" t="inlineStr">
        <is>
          <t>Yes</t>
        </is>
      </c>
      <c r="F8" s="5" t="inlineStr">
        <is>
          <t>Always</t>
        </is>
      </c>
    </row>
    <row r="9">
      <c r="A9" s="5" t="n">
        <v>2</v>
      </c>
      <c r="B9" s="5" t="inlineStr">
        <is>
          <t>Proof of residence in West Bengal (valid Government-issued document)</t>
        </is>
      </c>
      <c r="C9" s="21" t="n"/>
      <c r="D9" s="21" t="n"/>
      <c r="E9" s="5" t="inlineStr">
        <is>
          <t>Yes</t>
        </is>
      </c>
      <c r="F9" s="5" t="inlineStr">
        <is>
          <t>Clause 1.1(a), 5.1(a)</t>
        </is>
      </c>
    </row>
    <row r="10">
      <c r="A10" s="5" t="n">
        <v>3</v>
      </c>
      <c r="B10" s="5" t="inlineStr">
        <is>
          <t>Proof of Class X or Class XII from a WB school in regular mode</t>
        </is>
      </c>
      <c r="C10" s="21" t="n"/>
      <c r="D10" s="21" t="n"/>
      <c r="E10" s="5" t="inlineStr">
        <is>
          <t>Yes</t>
        </is>
      </c>
      <c r="F10" s="5" t="inlineStr">
        <is>
          <t>Clause 1.1(a), 5.1(a)</t>
        </is>
      </c>
    </row>
    <row r="11">
      <c r="A11" s="5" t="n">
        <v>4</v>
      </c>
      <c r="B11" s="5" t="inlineStr">
        <is>
          <t>Elector details of parent/guardian (or scholar, where applicable)</t>
        </is>
      </c>
      <c r="C11" s="21" t="n"/>
      <c r="D11" s="21" t="n"/>
      <c r="E11" s="5" t="inlineStr">
        <is>
          <t>Yes</t>
        </is>
      </c>
      <c r="F11" s="5" t="inlineStr">
        <is>
          <t>Clause 1.1(b), 5.1(a)</t>
        </is>
      </c>
    </row>
    <row r="12">
      <c r="A12" s="5" t="n">
        <v>5</v>
      </c>
      <c r="B12" s="5" t="inlineStr">
        <is>
          <t>Official fee demand / fee structure (may include health insurance)</t>
        </is>
      </c>
      <c r="C12" s="21" t="n"/>
      <c r="D12" s="21" t="n"/>
      <c r="E12" s="5" t="inlineStr">
        <is>
          <t>Yes</t>
        </is>
      </c>
      <c r="F12" s="5" t="inlineStr">
        <is>
          <t>Clause 5.1(b)</t>
        </is>
      </c>
    </row>
    <row r="13">
      <c r="A13" s="5" t="n">
        <v>6</v>
      </c>
      <c r="B13" s="5" t="inlineStr">
        <is>
          <t>Health insurance document, where applicable</t>
        </is>
      </c>
      <c r="C13" s="21" t="n"/>
      <c r="D13" s="21" t="n"/>
      <c r="E13" s="6">
        <f>IF(AND(NM_COMP="International",N(NM_HI)&gt;0),"Yes","No")</f>
        <v/>
      </c>
      <c r="F13" s="5" t="inlineStr">
        <is>
          <t>Mandatory if International and HI claimed</t>
        </is>
      </c>
    </row>
    <row r="14">
      <c r="A14" s="5" t="n">
        <v>7</v>
      </c>
      <c r="B14" s="5" t="inlineStr">
        <is>
          <t>Proof of other scholarship / assistance / fee waiver</t>
        </is>
      </c>
      <c r="C14" s="21" t="n"/>
      <c r="D14" s="21" t="n"/>
      <c r="E14" s="6">
        <f>IF(NM_OTH="Yes","Yes","No")</f>
        <v/>
      </c>
      <c r="F14" s="5" t="inlineStr">
        <is>
          <t>Mandatory if other assistance = Yes</t>
        </is>
      </c>
    </row>
    <row r="15">
      <c r="A15" s="5" t="n">
        <v>8</v>
      </c>
      <c r="B15" s="5" t="inlineStr">
        <is>
          <t>Enrolment confirmation, where applicable</t>
        </is>
      </c>
      <c r="C15" s="21" t="n"/>
      <c r="D15" s="21" t="n"/>
      <c r="E15" s="5">
        <f>IF(OR(COUNTA(05_AnnexIV_Renewal!G7:G18)&gt;0,COUNTA(06_AnnexV_ReimbClaim!C7:C18)&gt;0),"Yes","No")</f>
        <v/>
      </c>
      <c r="F15" s="5" t="inlineStr">
        <is>
          <t>Mandatory once a continuation period or reimbursement claim is entered</t>
        </is>
      </c>
    </row>
    <row r="16">
      <c r="A16" s="5" t="n">
        <v>9</v>
      </c>
      <c r="B16" s="5" t="inlineStr">
        <is>
          <t>Any additional document required by the Competent Authority</t>
        </is>
      </c>
      <c r="C16" s="21" t="n"/>
      <c r="D16" s="21" t="n"/>
      <c r="E16" s="5" t="inlineStr">
        <is>
          <t>No</t>
        </is>
      </c>
      <c r="F16" s="5" t="inlineStr">
        <is>
          <t>As called for</t>
        </is>
      </c>
    </row>
    <row r="17">
      <c r="A17" s="5" t="n">
        <v>10</v>
      </c>
      <c r="B17" s="5" t="inlineStr">
        <is>
          <t>Proof of payment (receipt / bank advice) — reimbursement claims</t>
        </is>
      </c>
      <c r="C17" s="21" t="n"/>
      <c r="D17" s="21" t="n"/>
      <c r="E17" s="6">
        <f>IF(COUNTA(06_AnnexV_ReimbClaim!C7:C18)&gt;0,"Yes","No")</f>
        <v/>
      </c>
      <c r="F17" s="5" t="inlineStr">
        <is>
          <t>Mandatory for each Annex-V row</t>
        </is>
      </c>
    </row>
    <row r="18">
      <c r="A18" s="5" t="n">
        <v>11</v>
      </c>
      <c r="B18" s="5" t="inlineStr">
        <is>
          <t>Beneficiary bank particulars — direct pay (IFSC if Domestic; SWIFT/IBAN if International)</t>
        </is>
      </c>
      <c r="C18" s="21" t="n"/>
      <c r="D18" s="21" t="n"/>
      <c r="E18" s="6">
        <f>IF(NM_PAY="Direct institutional payment","Yes","No")</f>
        <v/>
      </c>
      <c r="F18" s="5" t="inlineStr">
        <is>
          <t>Mandatory when preferred mode is Direct institutional payment</t>
        </is>
      </c>
    </row>
    <row r="19">
      <c r="A19" s="5" t="n">
        <v>12</v>
      </c>
      <c r="B19" s="5" t="inlineStr">
        <is>
          <t>Institutional communication — deferral / LoA / change (Annex-VII)</t>
        </is>
      </c>
      <c r="C19" s="21" t="n"/>
      <c r="D19" s="21" t="n"/>
      <c r="E19" s="6">
        <f>IF(COUNTA(08_AnnexVII_Change!D7:D14)&gt;0,"Yes","No")</f>
        <v/>
      </c>
      <c r="F19" s="5" t="inlineStr">
        <is>
          <t>Mandatory for each Annex-VII row</t>
        </is>
      </c>
    </row>
    <row r="20">
      <c r="A20" s="5" t="n">
        <v>13</v>
      </c>
      <c r="B20" s="5" t="inlineStr">
        <is>
          <t>Annex-III Scholarship Agreement / Undertaking executed</t>
        </is>
      </c>
      <c r="C20" s="21" t="n"/>
      <c r="D20" s="21" t="n"/>
      <c r="E20" s="5" t="inlineStr">
        <is>
          <t>Yes</t>
        </is>
      </c>
      <c r="F20" s="5" t="inlineStr">
        <is>
          <t>Before first disbursement (1.1(d), 6.3(h))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mergeCells count="5">
    <mergeCell ref="A4:H4"/>
    <mergeCell ref="A3:H3"/>
    <mergeCell ref="A2:H2"/>
    <mergeCell ref="A1:H1"/>
    <mergeCell ref="C5:F5"/>
  </mergeCells>
  <dataValidations count="1">
    <dataValidation sqref="C8:C20" showDropDown="0" showInputMessage="0" showErrorMessage="1" allowBlank="1" errorTitle="Invalid entry" error="Select a value from the list." type="list">
      <formula1>L_Doc</formula1>
    </dataValidation>
  </dataValidations>
  <pageMargins left="0.75" right="0.75" top="1" bottom="1" header="0.5" footer="0.5"/>
  <pageSetup orientation="landscape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T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48" customWidth="1" min="4" max="4"/>
    <col width="16" customWidth="1" min="5" max="5"/>
    <col width="12" customWidth="1" min="6" max="6"/>
    <col width="12" customWidth="1" min="7" max="7"/>
    <col width="10" customWidth="1" min="8" max="8"/>
    <col width="18" customWidth="1" min="9" max="9"/>
    <col width="10" customWidth="1" min="10" max="10"/>
    <col width="14" customWidth="1" min="11" max="11"/>
    <col width="40" customWidth="1" min="12" max="12"/>
    <col width="12" customWidth="1" min="13" max="13"/>
    <col width="22" customWidth="1" min="14" max="14"/>
    <col width="24" customWidth="1" min="15" max="15"/>
    <col width="12" customWidth="1" min="16" max="16"/>
    <col width="16" customWidth="1" min="17" max="17"/>
  </cols>
  <sheetData>
    <row r="1">
      <c r="A1" s="15" t="inlineStr">
        <is>
          <t>COMPONENT</t>
        </is>
      </c>
      <c r="B1" s="15" t="inlineStr">
        <is>
          <t>COUNTRY</t>
        </is>
      </c>
      <c r="C1" s="15" t="inlineStr">
        <is>
          <t>STATE_UT</t>
        </is>
      </c>
      <c r="D1" s="15" t="inlineStr">
        <is>
          <t>INSTITUTION_LEGAL_NAME</t>
        </is>
      </c>
      <c r="E1" s="16" t="inlineStr">
        <is>
          <t>CATEGORY_LABEL</t>
        </is>
      </c>
      <c r="F1" s="15" t="inlineStr">
        <is>
          <t>OVERALL_RANK</t>
        </is>
      </c>
      <c r="G1" s="15" t="inlineStr">
        <is>
          <t>RANK_YEAR</t>
        </is>
      </c>
      <c r="H1" s="16" t="inlineStr">
        <is>
          <t>IS_PRIVATE</t>
        </is>
      </c>
      <c r="I1" s="15" t="inlineStr">
        <is>
          <t>CITY</t>
        </is>
      </c>
      <c r="J1" s="15" t="inlineStr">
        <is>
          <t>PRIMARY_CODE</t>
        </is>
      </c>
      <c r="K1" s="15" t="inlineStr">
        <is>
          <t>SUPPORT_BAND</t>
        </is>
      </c>
      <c r="L1" s="15" t="inlineStr">
        <is>
          <t>LOOKUP_KEY</t>
        </is>
      </c>
      <c r="M1" s="13" t="n"/>
      <c r="N1" s="13" t="inlineStr">
        <is>
          <t>STATES_DOM</t>
        </is>
      </c>
      <c r="O1" s="13" t="inlineStr">
        <is>
          <t>CTRY_INT</t>
        </is>
      </c>
      <c r="P1" s="13" t="inlineStr">
        <is>
          <t>CTRY_DOM</t>
        </is>
      </c>
      <c r="Q1" s="13" t="inlineStr">
        <is>
          <t>NA_INT</t>
        </is>
      </c>
      <c r="R1" s="13" t="inlineStr">
        <is>
          <t>Andhra Pradesh</t>
        </is>
      </c>
      <c r="S1" s="13" t="inlineStr">
        <is>
          <t>Arunachal Pradesh</t>
        </is>
      </c>
      <c r="T1" s="13" t="inlineStr">
        <is>
          <t>Assam</t>
        </is>
      </c>
      <c r="U1" s="13" t="inlineStr">
        <is>
          <t>Bihar</t>
        </is>
      </c>
      <c r="V1" s="13" t="inlineStr">
        <is>
          <t>Chandigarh</t>
        </is>
      </c>
      <c r="W1" s="13" t="inlineStr">
        <is>
          <t>Chhattisgarh</t>
        </is>
      </c>
      <c r="X1" s="13" t="inlineStr">
        <is>
          <t>Delhi</t>
        </is>
      </c>
      <c r="Y1" s="13" t="inlineStr">
        <is>
          <t>Goa</t>
        </is>
      </c>
      <c r="Z1" s="13" t="inlineStr">
        <is>
          <t>Gujarat</t>
        </is>
      </c>
      <c r="AA1" s="13" t="inlineStr">
        <is>
          <t>Haryana</t>
        </is>
      </c>
      <c r="AB1" s="13" t="inlineStr">
        <is>
          <t>Himachal Pradesh</t>
        </is>
      </c>
      <c r="AC1" s="13" t="inlineStr">
        <is>
          <t>Jammu and Kashmir</t>
        </is>
      </c>
      <c r="AD1" s="13" t="inlineStr">
        <is>
          <t>Jharkhand</t>
        </is>
      </c>
      <c r="AE1" s="13" t="inlineStr">
        <is>
          <t>Karnataka</t>
        </is>
      </c>
      <c r="AF1" s="13" t="inlineStr">
        <is>
          <t>Kerala</t>
        </is>
      </c>
      <c r="AG1" t="inlineStr">
        <is>
          <t>Madhya Pradesh</t>
        </is>
      </c>
      <c r="AH1" t="inlineStr">
        <is>
          <t>Maharashtra</t>
        </is>
      </c>
      <c r="AI1" t="inlineStr">
        <is>
          <t>Manipur</t>
        </is>
      </c>
      <c r="AJ1" t="inlineStr">
        <is>
          <t>Meghalaya</t>
        </is>
      </c>
      <c r="AK1" t="inlineStr">
        <is>
          <t>Mizoram</t>
        </is>
      </c>
      <c r="AL1" t="inlineStr">
        <is>
          <t>Nagaland</t>
        </is>
      </c>
      <c r="AM1" t="inlineStr">
        <is>
          <t>Odisha</t>
        </is>
      </c>
      <c r="AN1" t="inlineStr">
        <is>
          <t>Puducherry</t>
        </is>
      </c>
      <c r="AO1" t="inlineStr">
        <is>
          <t>Punjab</t>
        </is>
      </c>
      <c r="AP1" t="inlineStr">
        <is>
          <t>Rajasthan</t>
        </is>
      </c>
      <c r="AQ1" t="inlineStr">
        <is>
          <t>Sikkim</t>
        </is>
      </c>
      <c r="AR1" t="inlineStr">
        <is>
          <t>Tamil Nadu</t>
        </is>
      </c>
      <c r="AS1" t="inlineStr">
        <is>
          <t>Telangana</t>
        </is>
      </c>
      <c r="AT1" t="inlineStr">
        <is>
          <t>Tripura</t>
        </is>
      </c>
      <c r="AU1" t="inlineStr">
        <is>
          <t>Uttar Pradesh</t>
        </is>
      </c>
      <c r="AV1" t="inlineStr">
        <is>
          <t>Uttarakhand</t>
        </is>
      </c>
      <c r="AW1" t="inlineStr">
        <is>
          <t>West Bengal</t>
        </is>
      </c>
      <c r="AX1" t="inlineStr">
        <is>
          <t>Argentina</t>
        </is>
      </c>
      <c r="AY1" t="inlineStr">
        <is>
          <t>Australia</t>
        </is>
      </c>
      <c r="AZ1" t="inlineStr">
        <is>
          <t>Belgium</t>
        </is>
      </c>
      <c r="BA1" t="inlineStr">
        <is>
          <t>Canada</t>
        </is>
      </c>
      <c r="BB1" t="inlineStr">
        <is>
          <t>China</t>
        </is>
      </c>
      <c r="BC1" t="inlineStr">
        <is>
          <t>Denmark</t>
        </is>
      </c>
      <c r="BD1" t="inlineStr">
        <is>
          <t>France</t>
        </is>
      </c>
      <c r="BE1" t="inlineStr">
        <is>
          <t>Germany</t>
        </is>
      </c>
      <c r="BF1" t="inlineStr">
        <is>
          <t>Hong Kong SAR, China</t>
        </is>
      </c>
      <c r="BG1" t="inlineStr">
        <is>
          <t>Ireland</t>
        </is>
      </c>
      <c r="BH1" t="inlineStr">
        <is>
          <t>Italy</t>
        </is>
      </c>
      <c r="BI1" t="inlineStr">
        <is>
          <t>Japan</t>
        </is>
      </c>
      <c r="BJ1" t="inlineStr">
        <is>
          <t>Malaysia</t>
        </is>
      </c>
      <c r="BK1" t="inlineStr">
        <is>
          <t>Netherlands</t>
        </is>
      </c>
      <c r="BL1" t="inlineStr">
        <is>
          <t>New Zealand</t>
        </is>
      </c>
      <c r="BM1" t="inlineStr">
        <is>
          <t>Republic of Korea</t>
        </is>
      </c>
      <c r="BN1" t="inlineStr">
        <is>
          <t>Saudi Arabia</t>
        </is>
      </c>
      <c r="BO1" t="inlineStr">
        <is>
          <t>Singapore</t>
        </is>
      </c>
      <c r="BP1" t="inlineStr">
        <is>
          <t>Sweden</t>
        </is>
      </c>
      <c r="BQ1" t="inlineStr">
        <is>
          <t>Switzerland</t>
        </is>
      </c>
      <c r="BR1" t="inlineStr">
        <is>
          <t>Taiwan</t>
        </is>
      </c>
      <c r="BS1" t="inlineStr">
        <is>
          <t>United Kingdom</t>
        </is>
      </c>
      <c r="BT1" t="inlineStr">
        <is>
          <t>United States</t>
        </is>
      </c>
    </row>
    <row r="2">
      <c r="A2" s="5" t="inlineStr">
        <is>
          <t>Domestic</t>
        </is>
      </c>
      <c r="B2" s="5" t="inlineStr">
        <is>
          <t>India</t>
        </is>
      </c>
      <c r="C2" s="5" t="inlineStr">
        <is>
          <t>Andhra Pradesh</t>
        </is>
      </c>
      <c r="D2" s="5" t="inlineStr">
        <is>
          <t>All India Institute of Medical Sciences, Mangalagiri</t>
        </is>
      </c>
      <c r="E2" t="inlineStr">
        <is>
          <t>INI</t>
        </is>
      </c>
      <c r="F2" s="5" t="n"/>
      <c r="G2" s="5" t="n">
        <v>2025</v>
      </c>
      <c r="H2" t="inlineStr">
        <is>
          <t>No</t>
        </is>
      </c>
      <c r="I2" s="5" t="inlineStr">
        <is>
          <t>Mangalagiri</t>
        </is>
      </c>
      <c r="J2" s="5" t="inlineStr">
        <is>
          <t>A</t>
        </is>
      </c>
      <c r="K2" s="5" t="n">
        <v>100</v>
      </c>
      <c r="L2" s="5" t="inlineStr">
        <is>
          <t>India|All India Institute of Medical Sciences, Mangalagiri</t>
        </is>
      </c>
      <c r="M2" s="5" t="n"/>
      <c r="N2" s="5" t="inlineStr">
        <is>
          <t>Andhra Pradesh</t>
        </is>
      </c>
      <c r="O2" s="5" t="inlineStr">
        <is>
          <t>Argentina</t>
        </is>
      </c>
      <c r="P2" s="5" t="inlineStr">
        <is>
          <t>India</t>
        </is>
      </c>
      <c r="Q2" s="5" t="inlineStr">
        <is>
          <t>Not applicable</t>
        </is>
      </c>
      <c r="R2" s="5" t="inlineStr">
        <is>
          <t>All India Institute of Medical Sciences, Mangalagiri</t>
        </is>
      </c>
      <c r="S2" s="5" t="inlineStr">
        <is>
          <t>National Institute of Technology Arunachal Pradesh</t>
        </is>
      </c>
      <c r="T2" s="5" t="inlineStr">
        <is>
          <t>All India Institute of Medical Sciences, Guwahati</t>
        </is>
      </c>
      <c r="U2" s="5" t="inlineStr">
        <is>
          <t>All India Institute of Medical Sciences, Patna</t>
        </is>
      </c>
      <c r="V2" s="5" t="inlineStr">
        <is>
          <t>Postgraduate Institute of Medical Education and Research</t>
        </is>
      </c>
      <c r="W2" s="5" t="inlineStr">
        <is>
          <t>All India Institute of Medical Sciences, Raipur</t>
        </is>
      </c>
      <c r="X2" s="5" t="inlineStr">
        <is>
          <t>All India Institute of Medical Sciences, New Delhi</t>
        </is>
      </c>
      <c r="Y2" s="5" t="inlineStr">
        <is>
          <t>Indian Institute of Technology Goa</t>
        </is>
      </c>
      <c r="Z2" s="5" t="inlineStr">
        <is>
          <t>All India Institute of Medical Sciences, Rajkot</t>
        </is>
      </c>
      <c r="AA2" s="5" t="inlineStr">
        <is>
          <t>Indian Institute of Information Technology, Sonepat</t>
        </is>
      </c>
      <c r="AB2" s="5" t="inlineStr">
        <is>
          <t>All India Institute of Medical Sciences, Bilaspur</t>
        </is>
      </c>
      <c r="AC2" s="5" t="inlineStr">
        <is>
          <t>All India Institute of Medical Sciences, Jammu</t>
        </is>
      </c>
      <c r="AD2" s="5" t="inlineStr">
        <is>
          <t>All India Institute of Medical Sciences, Deoghar</t>
        </is>
      </c>
      <c r="AE2" s="5" t="inlineStr">
        <is>
          <t>Indian Institute of Information Technology, Dharwad</t>
        </is>
      </c>
      <c r="AF2" s="5" t="inlineStr">
        <is>
          <t>Cochin University of Science and Technology</t>
        </is>
      </c>
      <c r="AG2" t="inlineStr">
        <is>
          <t>All India Institute of Medical Sciences, Bhopal</t>
        </is>
      </c>
      <c r="AH2" t="inlineStr">
        <is>
          <t>All India Institute of Medical Sciences, Nagpur</t>
        </is>
      </c>
      <c r="AI2" t="inlineStr">
        <is>
          <t>Indian Institute of Information Technology, Manipur</t>
        </is>
      </c>
      <c r="AJ2" t="inlineStr">
        <is>
          <t>Indian Institute of Management Shillong</t>
        </is>
      </c>
      <c r="AK2" t="inlineStr">
        <is>
          <t>National Institute of Technology Mizoram</t>
        </is>
      </c>
      <c r="AL2" t="inlineStr">
        <is>
          <t>National Institute of Technology Nagaland</t>
        </is>
      </c>
      <c r="AM2" t="inlineStr">
        <is>
          <t>All India Institute of Medical Sciences, Bhubaneswar</t>
        </is>
      </c>
      <c r="AN2" t="inlineStr">
        <is>
          <t>Jawaharlal Institute of Postgraduate Medical Education and Research</t>
        </is>
      </c>
      <c r="AO2" t="inlineStr">
        <is>
          <t>All India Institute of Medical Sciences, Bathinda</t>
        </is>
      </c>
      <c r="AP2" t="inlineStr">
        <is>
          <t>All India Institute of Medical Sciences, Jodhpur</t>
        </is>
      </c>
      <c r="AQ2" t="inlineStr">
        <is>
          <t>National Institute of Technology Sikkim</t>
        </is>
      </c>
      <c r="AR2" t="inlineStr">
        <is>
          <t>All India Institute of Medical Sciences, Madurai</t>
        </is>
      </c>
      <c r="AS2" t="inlineStr">
        <is>
          <t>All India Institute of Medical Sciences, Bibinagar</t>
        </is>
      </c>
      <c r="AT2" t="inlineStr">
        <is>
          <t>Indian Institute of Information Technology, Agartala</t>
        </is>
      </c>
      <c r="AU2" t="inlineStr">
        <is>
          <t>Academy of Scientific and Innovative Research</t>
        </is>
      </c>
      <c r="AV2" t="inlineStr">
        <is>
          <t>All India Institute of Medical Sciences, Rishikesh</t>
        </is>
      </c>
      <c r="AW2" t="inlineStr">
        <is>
          <t>All India Institute of Medical Sciences, Kalyani</t>
        </is>
      </c>
      <c r="AX2" t="inlineStr">
        <is>
          <t>Universidad de Buenos Aires (UBA)</t>
        </is>
      </c>
      <c r="AY2" t="inlineStr">
        <is>
          <t>Adelaide University</t>
        </is>
      </c>
      <c r="AZ2" t="inlineStr">
        <is>
          <t>KU Leuven</t>
        </is>
      </c>
      <c r="BA2" t="inlineStr">
        <is>
          <t>McGill University</t>
        </is>
      </c>
      <c r="BB2" t="inlineStr">
        <is>
          <t>Fudan University</t>
        </is>
      </c>
      <c r="BC2" t="inlineStr">
        <is>
          <t>University of Copenhagen</t>
        </is>
      </c>
      <c r="BD2" t="inlineStr">
        <is>
          <t>Institut Polytechnique de Paris</t>
        </is>
      </c>
      <c r="BE2" t="inlineStr">
        <is>
          <t>Freie Universitaet Berlin</t>
        </is>
      </c>
      <c r="BF2" t="inlineStr">
        <is>
          <t>City University of Hong Kong (CityUHK)</t>
        </is>
      </c>
      <c r="BG2" t="inlineStr">
        <is>
          <t>Trinity College Dublin, The University of Dublin</t>
        </is>
      </c>
      <c r="BH2" t="inlineStr">
        <is>
          <t>Politecnico di Milano</t>
        </is>
      </c>
      <c r="BI2" t="inlineStr">
        <is>
          <t>Institute of Science Tokyo</t>
        </is>
      </c>
      <c r="BJ2" t="inlineStr">
        <is>
          <t>Universiti Malaya (UM)</t>
        </is>
      </c>
      <c r="BK2" t="inlineStr">
        <is>
          <t>Delft University of Technology</t>
        </is>
      </c>
      <c r="BL2" t="inlineStr">
        <is>
          <t>The University of Auckland</t>
        </is>
      </c>
      <c r="BM2" t="inlineStr">
        <is>
          <t>KAIST</t>
        </is>
      </c>
      <c r="BN2" t="inlineStr">
        <is>
          <t>King Fahd University of Petroleum and Minerals (KFUPM)</t>
        </is>
      </c>
      <c r="BO2" t="inlineStr">
        <is>
          <t>Nanyang Technological University, Singapore (NTU Singapore)</t>
        </is>
      </c>
      <c r="BP2" t="inlineStr">
        <is>
          <t>KTH Royal Institute of Technology</t>
        </is>
      </c>
      <c r="BQ2" t="inlineStr">
        <is>
          <t>EPFL – École polytechnique fédérale de Lausanne</t>
        </is>
      </c>
      <c r="BR2" t="inlineStr">
        <is>
          <t>National Taiwan University (NTU)</t>
        </is>
      </c>
      <c r="BS2" t="inlineStr">
        <is>
          <t>Durham University</t>
        </is>
      </c>
      <c r="BT2" t="inlineStr">
        <is>
          <t>Boston University</t>
        </is>
      </c>
    </row>
    <row r="3" ht="20" customHeight="1">
      <c r="A3" s="3" t="inlineStr">
        <is>
          <t>Domestic</t>
        </is>
      </c>
      <c r="B3" s="5" t="inlineStr">
        <is>
          <t>India</t>
        </is>
      </c>
      <c r="C3" s="5" t="inlineStr">
        <is>
          <t>Andhra Pradesh</t>
        </is>
      </c>
      <c r="D3" s="5" t="inlineStr">
        <is>
          <t>Andhra University</t>
        </is>
      </c>
      <c r="E3" t="inlineStr">
        <is>
          <t>NIRF Top 50</t>
        </is>
      </c>
      <c r="F3" t="n">
        <v>41</v>
      </c>
      <c r="G3" s="5" t="n">
        <v>2025</v>
      </c>
      <c r="H3" t="inlineStr">
        <is>
          <t>No</t>
        </is>
      </c>
      <c r="I3" s="5" t="inlineStr">
        <is>
          <t>Visakhapatnam</t>
        </is>
      </c>
      <c r="J3" t="inlineStr">
        <is>
          <t>C</t>
        </is>
      </c>
      <c r="K3" s="5" t="n">
        <v>75</v>
      </c>
      <c r="L3" t="inlineStr">
        <is>
          <t>India|Andhra University</t>
        </is>
      </c>
      <c r="M3" s="5" t="n"/>
      <c r="N3" s="5" t="inlineStr">
        <is>
          <t>Arunachal Pradesh</t>
        </is>
      </c>
      <c r="O3" t="inlineStr">
        <is>
          <t>Australia</t>
        </is>
      </c>
      <c r="P3" s="5" t="n"/>
      <c r="Q3" s="5" t="n"/>
      <c r="R3" s="5" t="inlineStr">
        <is>
          <t>Andhra University</t>
        </is>
      </c>
      <c r="S3" s="5" t="n"/>
      <c r="T3" t="inlineStr">
        <is>
          <t>Indian Institute of Information Technology, Guwahati</t>
        </is>
      </c>
      <c r="U3" s="5" t="inlineStr">
        <is>
          <t>Dr. Rajendra Prasad Central Agricultural University</t>
        </is>
      </c>
      <c r="W3" s="5" t="inlineStr">
        <is>
          <t>Indian Institute of Management Raipur</t>
        </is>
      </c>
      <c r="X3" t="inlineStr">
        <is>
          <t>Indian Agricultural Research Institute</t>
        </is>
      </c>
      <c r="Y3" s="5" t="inlineStr">
        <is>
          <t>National Institute of Technology Goa</t>
        </is>
      </c>
      <c r="Z3" t="inlineStr">
        <is>
          <t>Indian Institute of Information Technology, Surat</t>
        </is>
      </c>
      <c r="AA3" s="5" t="inlineStr">
        <is>
          <t>Indian Institute of Management Rohtak</t>
        </is>
      </c>
      <c r="AB3" s="5" t="inlineStr">
        <is>
          <t>Indian Institute of Information Technology, Una</t>
        </is>
      </c>
      <c r="AC3" s="5" t="inlineStr">
        <is>
          <t>Indian Institute of Management Jammu</t>
        </is>
      </c>
      <c r="AD3" t="inlineStr">
        <is>
          <t>Indian Institute of Information Technology, Ranchi</t>
        </is>
      </c>
      <c r="AE3" s="5" t="inlineStr">
        <is>
          <t>Indian Institute of Information Technology, Raichur</t>
        </is>
      </c>
      <c r="AF3" s="5" t="inlineStr">
        <is>
          <t>Indian Institute of Information Technology, Kottayam</t>
        </is>
      </c>
      <c r="AG3" t="inlineStr">
        <is>
          <t>Atal Bihari Vajpayee Indian Institute of Information Technology and Management, Gwalior</t>
        </is>
      </c>
      <c r="AH3" t="inlineStr">
        <is>
          <t>Homi Bhabha National Institute</t>
        </is>
      </c>
      <c r="AI3" t="inlineStr">
        <is>
          <t>National Institute of Technology Manipur</t>
        </is>
      </c>
      <c r="AJ3" t="inlineStr">
        <is>
          <t>National Institute of Technology Meghalaya</t>
        </is>
      </c>
      <c r="AM3" t="inlineStr">
        <is>
          <t>Indian Institute of Management Sambalpur</t>
        </is>
      </c>
      <c r="AN3" t="inlineStr">
        <is>
          <t>National Institute of Technology Puducherry</t>
        </is>
      </c>
      <c r="AO3" t="inlineStr">
        <is>
          <t>Dr. B. R. Ambedkar National Institute of Technology Jalandhar</t>
        </is>
      </c>
      <c r="AP3" t="inlineStr">
        <is>
          <t>Indian Institute of Information Technology, Kota</t>
        </is>
      </c>
      <c r="AR3" t="inlineStr">
        <is>
          <t>Anna University</t>
        </is>
      </c>
      <c r="AS3" t="inlineStr">
        <is>
          <t>Indian Institute of Technology Hyderabad</t>
        </is>
      </c>
      <c r="AT3" t="inlineStr">
        <is>
          <t>National Institute of Technology Agartala</t>
        </is>
      </c>
      <c r="AU3" t="inlineStr">
        <is>
          <t>Aligarh Muslim University</t>
        </is>
      </c>
      <c r="AV3" t="inlineStr">
        <is>
          <t>Indian Institute of Management Kashipur</t>
        </is>
      </c>
      <c r="AW3" t="inlineStr">
        <is>
          <t>Indian Institute of Engineering Science and Technology, Shibpur</t>
        </is>
      </c>
      <c r="AY3" t="inlineStr">
        <is>
          <t>Australian National University (ANU)</t>
        </is>
      </c>
      <c r="BA3" t="inlineStr">
        <is>
          <t>University of Alberta</t>
        </is>
      </c>
      <c r="BB3" t="inlineStr">
        <is>
          <t>Nanjing University</t>
        </is>
      </c>
      <c r="BD3" t="inlineStr">
        <is>
          <t>Sorbonne University</t>
        </is>
      </c>
      <c r="BE3" t="inlineStr">
        <is>
          <t>Ludwig-Maximilians-Universität München</t>
        </is>
      </c>
      <c r="BF3" t="inlineStr">
        <is>
          <t>The Chinese University of Hong Kong (CUHK)</t>
        </is>
      </c>
      <c r="BG3" t="inlineStr">
        <is>
          <t>University College Dublin</t>
        </is>
      </c>
      <c r="BI3" t="inlineStr">
        <is>
          <t>Kyoto University</t>
        </is>
      </c>
      <c r="BK3" t="inlineStr">
        <is>
          <t>University of Amsterdam</t>
        </is>
      </c>
      <c r="BM3" t="inlineStr">
        <is>
          <t>Korea University</t>
        </is>
      </c>
      <c r="BO3" t="inlineStr">
        <is>
          <t>National University of Singapore (NUS)</t>
        </is>
      </c>
      <c r="BP3" t="inlineStr">
        <is>
          <t>Lund University</t>
        </is>
      </c>
      <c r="BQ3" t="inlineStr">
        <is>
          <t>ETH Zurich</t>
        </is>
      </c>
      <c r="BS3" t="inlineStr">
        <is>
          <t>Imperial College London</t>
        </is>
      </c>
      <c r="BT3" t="inlineStr">
        <is>
          <t>Brown University</t>
        </is>
      </c>
    </row>
    <row r="4">
      <c r="A4" s="4" t="inlineStr">
        <is>
          <t>Domestic</t>
        </is>
      </c>
      <c r="B4" s="5" t="inlineStr">
        <is>
          <t>India</t>
        </is>
      </c>
      <c r="C4" s="5" t="inlineStr">
        <is>
          <t>Andhra Pradesh</t>
        </is>
      </c>
      <c r="D4" s="5" t="inlineStr">
        <is>
          <t>Indian Institute of Information Technology, Design and Manufacturing, Kurnool</t>
        </is>
      </c>
      <c r="E4" t="inlineStr">
        <is>
          <t>INI</t>
        </is>
      </c>
      <c r="G4" s="5" t="n">
        <v>2025</v>
      </c>
      <c r="H4" t="inlineStr">
        <is>
          <t>No</t>
        </is>
      </c>
      <c r="I4" s="5" t="inlineStr">
        <is>
          <t>Kurnool</t>
        </is>
      </c>
      <c r="J4" t="inlineStr">
        <is>
          <t>A</t>
        </is>
      </c>
      <c r="K4" s="5" t="n">
        <v>100</v>
      </c>
      <c r="L4" t="inlineStr">
        <is>
          <t>India|Indian Institute of Information Technology, Design and Manufacturing, Kurnool</t>
        </is>
      </c>
      <c r="M4" s="5" t="n"/>
      <c r="N4" s="5" t="inlineStr">
        <is>
          <t>Assam</t>
        </is>
      </c>
      <c r="O4" t="inlineStr">
        <is>
          <t>Belgium</t>
        </is>
      </c>
      <c r="P4" s="5" t="n"/>
      <c r="Q4" s="5" t="n"/>
      <c r="R4" s="5" t="inlineStr">
        <is>
          <t>Indian Institute of Information Technology, Design and Manufacturing, Kurnool</t>
        </is>
      </c>
      <c r="T4" t="inlineStr">
        <is>
          <t>Indian Institute of Management Guwahati</t>
        </is>
      </c>
      <c r="U4" s="5" t="inlineStr">
        <is>
          <t>Indian Institute of Information Technology, Bhagalpur</t>
        </is>
      </c>
      <c r="W4" t="inlineStr">
        <is>
          <t>Indian Institute of Technology Bhilai</t>
        </is>
      </c>
      <c r="X4" t="inlineStr">
        <is>
          <t>Indian Institute of Technology Delhi</t>
        </is>
      </c>
      <c r="Y4" s="5" t="n"/>
      <c r="Z4" t="inlineStr">
        <is>
          <t>Indian Institute of Information Technology, Vadodara</t>
        </is>
      </c>
      <c r="AA4" t="inlineStr">
        <is>
          <t>National Institute of Design, Haryana</t>
        </is>
      </c>
      <c r="AB4" s="5" t="inlineStr">
        <is>
          <t>Indian Institute of Management Sirmaur</t>
        </is>
      </c>
      <c r="AC4" s="5" t="inlineStr">
        <is>
          <t>Indian Institute of Technology Jammu</t>
        </is>
      </c>
      <c r="AD4" t="inlineStr">
        <is>
          <t>Indian Institute of Management Ranchi</t>
        </is>
      </c>
      <c r="AE4" s="5" t="inlineStr">
        <is>
          <t>Indian Institute of Management Bangalore</t>
        </is>
      </c>
      <c r="AF4" s="5" t="inlineStr">
        <is>
          <t>Indian Institute of Management Kozhikode</t>
        </is>
      </c>
      <c r="AG4" t="inlineStr">
        <is>
          <t>Indian Institute of Information Technology, Bhopal</t>
        </is>
      </c>
      <c r="AH4" t="inlineStr">
        <is>
          <t>Indian Institute of Information Technology, Nagpur</t>
        </is>
      </c>
      <c r="AM4" t="inlineStr">
        <is>
          <t>Indian Institute of Science Education and Research Berhampur</t>
        </is>
      </c>
      <c r="AO4" t="inlineStr">
        <is>
          <t>Indian Institute of Management Amritsar</t>
        </is>
      </c>
      <c r="AP4" t="inlineStr">
        <is>
          <t>Indian Institute of Management Udaipur</t>
        </is>
      </c>
      <c r="AR4" t="inlineStr">
        <is>
          <t>Dakshina Bharat Hindi Prachar Sabha</t>
        </is>
      </c>
      <c r="AS4" t="inlineStr">
        <is>
          <t>National Institute of Pharmaceutical Education and Research, Hyderabad</t>
        </is>
      </c>
      <c r="AU4" t="inlineStr">
        <is>
          <t>All India Institute of Medical Sciences, Gorakhpur</t>
        </is>
      </c>
      <c r="AV4" t="inlineStr">
        <is>
          <t>Indian Institute of Technology Roorkee</t>
        </is>
      </c>
      <c r="AW4" t="inlineStr">
        <is>
          <t>Indian Institute of Information Technology, Kalyani</t>
        </is>
      </c>
      <c r="AY4" t="inlineStr">
        <is>
          <t>Monash University</t>
        </is>
      </c>
      <c r="BA4" t="inlineStr">
        <is>
          <t>University of British Columbia</t>
        </is>
      </c>
      <c r="BB4" t="inlineStr">
        <is>
          <t>Peking University</t>
        </is>
      </c>
      <c r="BD4" t="inlineStr">
        <is>
          <t>Université PSL</t>
        </is>
      </c>
      <c r="BE4" t="inlineStr">
        <is>
          <t>Technical University of Munich</t>
        </is>
      </c>
      <c r="BF4" t="inlineStr">
        <is>
          <t>The Hong Kong Polytechnic University</t>
        </is>
      </c>
      <c r="BI4" t="inlineStr">
        <is>
          <t>The University of Osaka</t>
        </is>
      </c>
      <c r="BM4" t="inlineStr">
        <is>
          <t>Seoul National University</t>
        </is>
      </c>
      <c r="BP4" t="inlineStr">
        <is>
          <t>Uppsala University</t>
        </is>
      </c>
      <c r="BQ4" t="inlineStr">
        <is>
          <t>University of Zurich</t>
        </is>
      </c>
      <c r="BS4" t="inlineStr">
        <is>
          <t>King's College London</t>
        </is>
      </c>
      <c r="BT4" t="inlineStr">
        <is>
          <t>California Institute of Technology (Caltech)</t>
        </is>
      </c>
    </row>
    <row r="5">
      <c r="A5" s="5" t="inlineStr">
        <is>
          <t>Domestic</t>
        </is>
      </c>
      <c r="B5" s="5" t="inlineStr">
        <is>
          <t>India</t>
        </is>
      </c>
      <c r="C5" s="5" t="inlineStr">
        <is>
          <t>Andhra Pradesh</t>
        </is>
      </c>
      <c r="D5" s="5" t="inlineStr">
        <is>
          <t>Indian Institute of Information Technology, Sri City</t>
        </is>
      </c>
      <c r="E5" t="inlineStr">
        <is>
          <t>INI</t>
        </is>
      </c>
      <c r="G5" s="5" t="n">
        <v>2025</v>
      </c>
      <c r="H5" t="inlineStr">
        <is>
          <t>No</t>
        </is>
      </c>
      <c r="I5" s="5" t="inlineStr">
        <is>
          <t>Sri City</t>
        </is>
      </c>
      <c r="J5" t="inlineStr">
        <is>
          <t>A</t>
        </is>
      </c>
      <c r="K5" s="5" t="n">
        <v>100</v>
      </c>
      <c r="L5" t="inlineStr">
        <is>
          <t>India|Indian Institute of Information Technology, Sri City</t>
        </is>
      </c>
      <c r="M5" s="5" t="n"/>
      <c r="N5" s="5" t="inlineStr">
        <is>
          <t>Bihar</t>
        </is>
      </c>
      <c r="O5" t="inlineStr">
        <is>
          <t>Canada</t>
        </is>
      </c>
      <c r="P5" s="5" t="n"/>
      <c r="Q5" s="5" t="n"/>
      <c r="R5" s="5" t="inlineStr">
        <is>
          <t>Indian Institute of Information Technology, Sri City</t>
        </is>
      </c>
      <c r="T5" t="inlineStr">
        <is>
          <t>Indian Institute of Technology Guwahati</t>
        </is>
      </c>
      <c r="U5" s="5" t="inlineStr">
        <is>
          <t>Indian Institute of Management Bodh Gaya</t>
        </is>
      </c>
      <c r="W5" t="inlineStr">
        <is>
          <t>National Institute of Technology Raipur</t>
        </is>
      </c>
      <c r="X5" t="inlineStr">
        <is>
          <t>Jamia Millia Islamia</t>
        </is>
      </c>
      <c r="Y5" s="5" t="n"/>
      <c r="Z5" t="inlineStr">
        <is>
          <t>Indian Institute of Management Ahmedabad</t>
        </is>
      </c>
      <c r="AA5" t="inlineStr">
        <is>
          <t>National Institute of Food Technology Entrepreneurship and Management, Kundli</t>
        </is>
      </c>
      <c r="AB5" t="inlineStr">
        <is>
          <t>Indian Institute of Technology Mandi</t>
        </is>
      </c>
      <c r="AC5" t="inlineStr">
        <is>
          <t>National Institute of Technology Srinagar</t>
        </is>
      </c>
      <c r="AD5" t="inlineStr">
        <is>
          <t>Indian Institute of Technology (ISM) Dhanbad</t>
        </is>
      </c>
      <c r="AE5" s="5" t="inlineStr">
        <is>
          <t>Indian Institute of Science</t>
        </is>
      </c>
      <c r="AF5" s="5" t="inlineStr">
        <is>
          <t>Indian Institute of Science Education and Research Thiruvananthapuram</t>
        </is>
      </c>
      <c r="AG5" t="inlineStr">
        <is>
          <t>Indian Institute of Management Indore</t>
        </is>
      </c>
      <c r="AH5" t="inlineStr">
        <is>
          <t>Indian Institute of Information Technology, Pune</t>
        </is>
      </c>
      <c r="AM5" t="inlineStr">
        <is>
          <t>Indian Institute of Technology Bhubaneswar</t>
        </is>
      </c>
      <c r="AO5" t="inlineStr">
        <is>
          <t>Indian Institute of Science Education and Research Mohali</t>
        </is>
      </c>
      <c r="AP5" t="inlineStr">
        <is>
          <t>Indian Institute of Technology Jodhpur</t>
        </is>
      </c>
      <c r="AR5" t="inlineStr">
        <is>
          <t>Indian Institute of Information Technology, Design and Manufacturing, Kancheepuram</t>
        </is>
      </c>
      <c r="AS5" t="inlineStr">
        <is>
          <t>National Institute of Technology Warangal</t>
        </is>
      </c>
      <c r="AU5" t="inlineStr">
        <is>
          <t>All India Institute of Medical Sciences, Raebareli</t>
        </is>
      </c>
      <c r="AV5" t="inlineStr">
        <is>
          <t>National Institute of Technology Uttarakhand</t>
        </is>
      </c>
      <c r="AW5" t="inlineStr">
        <is>
          <t>Indian Institute of Management Calcutta</t>
        </is>
      </c>
      <c r="AY5" t="inlineStr">
        <is>
          <t>The University of Melbourne</t>
        </is>
      </c>
      <c r="BA5" t="inlineStr">
        <is>
          <t>University of Toronto</t>
        </is>
      </c>
      <c r="BB5" t="inlineStr">
        <is>
          <t>Shanghai Jiao Tong University</t>
        </is>
      </c>
      <c r="BD5" t="inlineStr">
        <is>
          <t>Université Paris-Saclay</t>
        </is>
      </c>
      <c r="BE5" t="inlineStr">
        <is>
          <t>Universität Heidelberg</t>
        </is>
      </c>
      <c r="BF5" t="inlineStr">
        <is>
          <t>The Hong Kong University of Science and Technology</t>
        </is>
      </c>
      <c r="BI5" t="inlineStr">
        <is>
          <t>The University of Tokyo</t>
        </is>
      </c>
      <c r="BM5" t="inlineStr">
        <is>
          <t>Yonsei University</t>
        </is>
      </c>
      <c r="BS5" t="inlineStr">
        <is>
          <t>The London School of Economics and Political Science (LSE)</t>
        </is>
      </c>
      <c r="BT5" t="inlineStr">
        <is>
          <t>Carnegie Mellon University</t>
        </is>
      </c>
    </row>
    <row r="6">
      <c r="A6" s="5" t="inlineStr">
        <is>
          <t>Domestic</t>
        </is>
      </c>
      <c r="B6" s="5" t="inlineStr">
        <is>
          <t>India</t>
        </is>
      </c>
      <c r="C6" s="5" t="inlineStr">
        <is>
          <t>Andhra Pradesh</t>
        </is>
      </c>
      <c r="D6" s="5" t="inlineStr">
        <is>
          <t>Indian Institute of Management Visakhapatnam</t>
        </is>
      </c>
      <c r="E6" t="inlineStr">
        <is>
          <t>INI</t>
        </is>
      </c>
      <c r="G6" s="5" t="n">
        <v>2025</v>
      </c>
      <c r="H6" t="inlineStr">
        <is>
          <t>No</t>
        </is>
      </c>
      <c r="I6" s="5" t="inlineStr">
        <is>
          <t>Visakhapatnam</t>
        </is>
      </c>
      <c r="J6" t="inlineStr">
        <is>
          <t>A</t>
        </is>
      </c>
      <c r="K6" s="5" t="n">
        <v>100</v>
      </c>
      <c r="L6" t="inlineStr">
        <is>
          <t>India|Indian Institute of Management Visakhapatnam</t>
        </is>
      </c>
      <c r="N6" s="5" t="inlineStr">
        <is>
          <t>Chandigarh</t>
        </is>
      </c>
      <c r="O6" t="inlineStr">
        <is>
          <t>China</t>
        </is>
      </c>
      <c r="R6" s="5" t="inlineStr">
        <is>
          <t>Indian Institute of Management Visakhapatnam</t>
        </is>
      </c>
      <c r="T6" t="inlineStr">
        <is>
          <t>National Institute of Design, Assam</t>
        </is>
      </c>
      <c r="U6" t="inlineStr">
        <is>
          <t>Indian Institute of Technology Patna</t>
        </is>
      </c>
      <c r="X6" t="inlineStr">
        <is>
          <t>Jawaharlal Nehru University</t>
        </is>
      </c>
      <c r="Z6" t="inlineStr">
        <is>
          <t>Indian Institute of Technology Gandhinagar</t>
        </is>
      </c>
      <c r="AA6" t="inlineStr">
        <is>
          <t>National Institute of Technology Kurukshetra</t>
        </is>
      </c>
      <c r="AB6" t="inlineStr">
        <is>
          <t>National Institute of Technology Hamirpur</t>
        </is>
      </c>
      <c r="AD6" t="inlineStr">
        <is>
          <t>National Institute of Technology Jamshedpur</t>
        </is>
      </c>
      <c r="AE6" s="5" t="inlineStr">
        <is>
          <t>Indian Institute of Technology Dharwad</t>
        </is>
      </c>
      <c r="AF6" s="5" t="inlineStr">
        <is>
          <t>Indian Institute of Technology Palakkad</t>
        </is>
      </c>
      <c r="AG6" t="inlineStr">
        <is>
          <t>Indian Institute of Science Education and Research Bhopal</t>
        </is>
      </c>
      <c r="AH6" t="inlineStr">
        <is>
          <t>Indian Institute of Management Mumbai</t>
        </is>
      </c>
      <c r="AM6" t="inlineStr">
        <is>
          <t>National Institute of Technology Rourkela</t>
        </is>
      </c>
      <c r="AO6" t="inlineStr">
        <is>
          <t>Indian Institute of Technology Ropar</t>
        </is>
      </c>
      <c r="AP6" t="inlineStr">
        <is>
          <t>Malaviya National Institute of Technology Jaipur</t>
        </is>
      </c>
      <c r="AR6" t="inlineStr">
        <is>
          <t>Indian Institute of Information Technology, Tiruchirappalli</t>
        </is>
      </c>
      <c r="AS6" t="inlineStr">
        <is>
          <t>University of Hyderabad</t>
        </is>
      </c>
      <c r="AU6" t="inlineStr">
        <is>
          <t>Banaras Hindu University</t>
        </is>
      </c>
      <c r="AW6" t="inlineStr">
        <is>
          <t>Indian Institute of Science Education and Research Kolkata</t>
        </is>
      </c>
      <c r="AY6" t="inlineStr">
        <is>
          <t>The University of New South Wales (UNSW Sydney)</t>
        </is>
      </c>
      <c r="BB6" t="inlineStr">
        <is>
          <t>Tsinghua University</t>
        </is>
      </c>
      <c r="BF6" t="inlineStr">
        <is>
          <t>The University of Hong Kong</t>
        </is>
      </c>
      <c r="BS6" t="inlineStr">
        <is>
          <t>The University of Edinburgh</t>
        </is>
      </c>
      <c r="BT6" t="inlineStr">
        <is>
          <t>Columbia University</t>
        </is>
      </c>
    </row>
    <row r="7">
      <c r="A7" s="5" t="inlineStr">
        <is>
          <t>Domestic</t>
        </is>
      </c>
      <c r="B7" s="5" t="inlineStr">
        <is>
          <t>India</t>
        </is>
      </c>
      <c r="C7" s="5" t="inlineStr">
        <is>
          <t>Andhra Pradesh</t>
        </is>
      </c>
      <c r="D7" s="5" t="inlineStr">
        <is>
          <t>Indian Institute of Petroleum and Energy</t>
        </is>
      </c>
      <c r="E7" t="inlineStr">
        <is>
          <t>INI</t>
        </is>
      </c>
      <c r="G7" s="5" t="n">
        <v>2025</v>
      </c>
      <c r="H7" t="inlineStr">
        <is>
          <t>No</t>
        </is>
      </c>
      <c r="I7" s="5" t="inlineStr">
        <is>
          <t>Visakhapatnam</t>
        </is>
      </c>
      <c r="J7" t="inlineStr">
        <is>
          <t>A</t>
        </is>
      </c>
      <c r="K7" s="5" t="n">
        <v>100</v>
      </c>
      <c r="L7" t="inlineStr">
        <is>
          <t>India|Indian Institute of Petroleum and Energy</t>
        </is>
      </c>
      <c r="N7" s="5" t="inlineStr">
        <is>
          <t>Chhattisgarh</t>
        </is>
      </c>
      <c r="O7" t="inlineStr">
        <is>
          <t>Denmark</t>
        </is>
      </c>
      <c r="R7" t="inlineStr">
        <is>
          <t>Indian Institute of Petroleum and Energy</t>
        </is>
      </c>
      <c r="T7" t="inlineStr">
        <is>
          <t>National Institute of Pharmaceutical Education and Research, Guwahati</t>
        </is>
      </c>
      <c r="U7" t="inlineStr">
        <is>
          <t>Nalanda University</t>
        </is>
      </c>
      <c r="X7" t="inlineStr">
        <is>
          <t>National Institute of Technology Delhi</t>
        </is>
      </c>
      <c r="Z7" t="inlineStr">
        <is>
          <t>Institute of Teaching and Research in Ayurveda</t>
        </is>
      </c>
      <c r="AA7" t="inlineStr">
        <is>
          <t>Regional Centre for Biotechnology</t>
        </is>
      </c>
      <c r="AE7" s="5" t="inlineStr">
        <is>
          <t>National Institute of Mental Health and Neurosciences</t>
        </is>
      </c>
      <c r="AF7" s="5" t="inlineStr">
        <is>
          <t>National Institute of Technology Calicut</t>
        </is>
      </c>
      <c r="AG7" t="inlineStr">
        <is>
          <t>Indian Institute of Technology Indore</t>
        </is>
      </c>
      <c r="AH7" t="inlineStr">
        <is>
          <t>Indian Institute of Management Nagpur</t>
        </is>
      </c>
      <c r="AO7" t="inlineStr">
        <is>
          <t>National Institute of Pharmaceutical Education and Research, S.A.S. Nagar</t>
        </is>
      </c>
      <c r="AR7" t="inlineStr">
        <is>
          <t>Indian Institute of Management Tiruchirappalli</t>
        </is>
      </c>
      <c r="AU7" t="inlineStr">
        <is>
          <t>Footwear Design and Development Institute</t>
        </is>
      </c>
      <c r="AW7" t="inlineStr">
        <is>
          <t>Indian Institute of Technology Kharagpur</t>
        </is>
      </c>
      <c r="AY7" t="inlineStr">
        <is>
          <t>The University of Queensland</t>
        </is>
      </c>
      <c r="BB7" t="inlineStr">
        <is>
          <t>Zhejiang University</t>
        </is>
      </c>
      <c r="BS7" t="inlineStr">
        <is>
          <t>The University of Manchester</t>
        </is>
      </c>
      <c r="BT7" t="inlineStr">
        <is>
          <t>Cornell University</t>
        </is>
      </c>
    </row>
    <row r="8">
      <c r="A8" s="5" t="inlineStr">
        <is>
          <t>Domestic</t>
        </is>
      </c>
      <c r="B8" s="5" t="inlineStr">
        <is>
          <t>India</t>
        </is>
      </c>
      <c r="C8" s="5" t="inlineStr">
        <is>
          <t>Andhra Pradesh</t>
        </is>
      </c>
      <c r="D8" s="5" t="inlineStr">
        <is>
          <t>Indian Institute of Science Education and Research Tirupati</t>
        </is>
      </c>
      <c r="E8" t="inlineStr">
        <is>
          <t>INI</t>
        </is>
      </c>
      <c r="G8" s="5" t="n">
        <v>2025</v>
      </c>
      <c r="H8" t="inlineStr">
        <is>
          <t>No</t>
        </is>
      </c>
      <c r="I8" s="5" t="inlineStr">
        <is>
          <t>Tirupati</t>
        </is>
      </c>
      <c r="J8" t="inlineStr">
        <is>
          <t>A</t>
        </is>
      </c>
      <c r="K8" s="5" t="n">
        <v>100</v>
      </c>
      <c r="L8" t="inlineStr">
        <is>
          <t>India|Indian Institute of Science Education and Research Tirupati</t>
        </is>
      </c>
      <c r="N8" t="inlineStr">
        <is>
          <t>Delhi</t>
        </is>
      </c>
      <c r="O8" t="inlineStr">
        <is>
          <t>France</t>
        </is>
      </c>
      <c r="R8" t="inlineStr">
        <is>
          <t>Indian Institute of Science Education and Research Tirupati</t>
        </is>
      </c>
      <c r="T8" t="inlineStr">
        <is>
          <t>National Institute of Technology Silchar</t>
        </is>
      </c>
      <c r="U8" t="inlineStr">
        <is>
          <t>National Institute of Pharmaceutical Education and Research, Hajipur</t>
        </is>
      </c>
      <c r="X8" t="inlineStr">
        <is>
          <t>School of Planning and Architecture, New Delhi</t>
        </is>
      </c>
      <c r="Z8" t="inlineStr">
        <is>
          <t>National Forensic Sciences University</t>
        </is>
      </c>
      <c r="AE8" s="5" t="inlineStr">
        <is>
          <t>National Institute of Technology Karnataka, Surathkal</t>
        </is>
      </c>
      <c r="AF8" s="5" t="inlineStr">
        <is>
          <t>Sree Chitra Tirunal Institute for Medical Sciences and Technology</t>
        </is>
      </c>
      <c r="AG8" t="inlineStr">
        <is>
          <t>Maulana Azad National Institute of Technology Bhopal</t>
        </is>
      </c>
      <c r="AH8" t="inlineStr">
        <is>
          <t>Indian Institute of Science Education and Research Pune</t>
        </is>
      </c>
      <c r="AR8" t="inlineStr">
        <is>
          <t>Indian Institute of Technology Madras</t>
        </is>
      </c>
      <c r="AU8" t="inlineStr">
        <is>
          <t>Indian Institute of Information Technology, Allahabad</t>
        </is>
      </c>
      <c r="AW8" t="inlineStr">
        <is>
          <t>Indian Statistical Institute</t>
        </is>
      </c>
      <c r="AY8" t="inlineStr">
        <is>
          <t>The University of Sydney</t>
        </is>
      </c>
      <c r="BS8" t="inlineStr">
        <is>
          <t>The University of Sheffield</t>
        </is>
      </c>
      <c r="BT8" t="inlineStr">
        <is>
          <t>Duke University</t>
        </is>
      </c>
    </row>
    <row r="9">
      <c r="A9" s="5" t="inlineStr">
        <is>
          <t>Domestic</t>
        </is>
      </c>
      <c r="B9" s="5" t="inlineStr">
        <is>
          <t>India</t>
        </is>
      </c>
      <c r="C9" s="5" t="inlineStr">
        <is>
          <t>Andhra Pradesh</t>
        </is>
      </c>
      <c r="D9" s="5" t="inlineStr">
        <is>
          <t>Indian Institute of Technology Tirupati</t>
        </is>
      </c>
      <c r="E9" t="inlineStr">
        <is>
          <t>INI</t>
        </is>
      </c>
      <c r="G9" s="5" t="n">
        <v>2025</v>
      </c>
      <c r="H9" t="inlineStr">
        <is>
          <t>No</t>
        </is>
      </c>
      <c r="I9" s="5" t="inlineStr">
        <is>
          <t>Tirupati</t>
        </is>
      </c>
      <c r="J9" t="inlineStr">
        <is>
          <t>A</t>
        </is>
      </c>
      <c r="K9" s="5" t="n">
        <v>100</v>
      </c>
      <c r="L9" t="inlineStr">
        <is>
          <t>India|Indian Institute of Technology Tirupati</t>
        </is>
      </c>
      <c r="N9" t="inlineStr">
        <is>
          <t>Goa</t>
        </is>
      </c>
      <c r="O9" t="inlineStr">
        <is>
          <t>Germany</t>
        </is>
      </c>
      <c r="R9" t="inlineStr">
        <is>
          <t>Indian Institute of Technology Tirupati</t>
        </is>
      </c>
      <c r="U9" t="inlineStr">
        <is>
          <t>National Institute of Technology Patna</t>
        </is>
      </c>
      <c r="X9" t="inlineStr">
        <is>
          <t>University of Delhi</t>
        </is>
      </c>
      <c r="Z9" t="inlineStr">
        <is>
          <t>National Institute of Design, Ahmedabad</t>
        </is>
      </c>
      <c r="AE9" s="5" t="n"/>
      <c r="AF9" s="5" t="inlineStr">
        <is>
          <t>University of Kerala</t>
        </is>
      </c>
      <c r="AG9" t="inlineStr">
        <is>
          <t>National Institute of Design, Madhya Pradesh</t>
        </is>
      </c>
      <c r="AH9" t="inlineStr">
        <is>
          <t>Indian Institute of Technology Bombay</t>
        </is>
      </c>
      <c r="AR9" t="inlineStr">
        <is>
          <t>Kalakshetra Foundation</t>
        </is>
      </c>
      <c r="AU9" t="inlineStr">
        <is>
          <t>Indian Institute of Information Technology, Lucknow</t>
        </is>
      </c>
      <c r="AW9" t="inlineStr">
        <is>
          <t>Jadavpur University</t>
        </is>
      </c>
      <c r="AY9" t="inlineStr">
        <is>
          <t>The University of Western Australia</t>
        </is>
      </c>
      <c r="BS9" t="inlineStr">
        <is>
          <t>The University of Warwick</t>
        </is>
      </c>
      <c r="BT9" t="inlineStr">
        <is>
          <t>Harvard University</t>
        </is>
      </c>
    </row>
    <row r="10">
      <c r="A10" s="5" t="inlineStr">
        <is>
          <t>Domestic</t>
        </is>
      </c>
      <c r="B10" s="5" t="inlineStr">
        <is>
          <t>India</t>
        </is>
      </c>
      <c r="C10" s="5" t="inlineStr">
        <is>
          <t>Andhra Pradesh</t>
        </is>
      </c>
      <c r="D10" s="5" t="inlineStr">
        <is>
          <t>National Institute of Design, Andhra Pradesh</t>
        </is>
      </c>
      <c r="E10" t="inlineStr">
        <is>
          <t>INI</t>
        </is>
      </c>
      <c r="G10" s="5" t="n">
        <v>2025</v>
      </c>
      <c r="H10" t="inlineStr">
        <is>
          <t>No</t>
        </is>
      </c>
      <c r="I10" s="5" t="inlineStr">
        <is>
          <t>Amaravati</t>
        </is>
      </c>
      <c r="J10" t="inlineStr">
        <is>
          <t>A</t>
        </is>
      </c>
      <c r="K10" s="5" t="n">
        <v>100</v>
      </c>
      <c r="L10" t="inlineStr">
        <is>
          <t>India|National Institute of Design, Andhra Pradesh</t>
        </is>
      </c>
      <c r="N10" t="inlineStr">
        <is>
          <t>Gujarat</t>
        </is>
      </c>
      <c r="O10" t="inlineStr">
        <is>
          <t>Hong Kong SAR, China</t>
        </is>
      </c>
      <c r="R10" t="inlineStr">
        <is>
          <t>National Institute of Design, Andhra Pradesh</t>
        </is>
      </c>
      <c r="Z10" t="inlineStr">
        <is>
          <t>National Institute of Pharmaceutical Education and Research, Ahmedabad</t>
        </is>
      </c>
      <c r="AE10" s="5" t="n"/>
      <c r="AF10" s="5" t="n"/>
      <c r="AG10" t="inlineStr">
        <is>
          <t>Pandit Dwarka Prasad Mishra Indian Institute of Information Technology, Design and Manufacturing, Jabalpur</t>
        </is>
      </c>
      <c r="AH10" t="inlineStr">
        <is>
          <t>Visvesvaraya National Institute of Technology Nagpur</t>
        </is>
      </c>
      <c r="AR10" t="inlineStr">
        <is>
          <t>National Institute of Food Technology, Entrepreneurship and Management, Thanjavur</t>
        </is>
      </c>
      <c r="AU10" t="inlineStr">
        <is>
          <t>Indian Institute of Management Lucknow</t>
        </is>
      </c>
      <c r="AW10" t="inlineStr">
        <is>
          <t>National Institute of Pharmaceutical Education and Research, Kolkata</t>
        </is>
      </c>
      <c r="AY10" t="inlineStr">
        <is>
          <t>University of Technology Sydney</t>
        </is>
      </c>
      <c r="BS10" t="inlineStr">
        <is>
          <t>UCL</t>
        </is>
      </c>
      <c r="BT10" t="inlineStr">
        <is>
          <t>Johns Hopkins University</t>
        </is>
      </c>
    </row>
    <row r="11">
      <c r="A11" s="5" t="inlineStr">
        <is>
          <t>Domestic</t>
        </is>
      </c>
      <c r="B11" s="5" t="inlineStr">
        <is>
          <t>India</t>
        </is>
      </c>
      <c r="C11" s="5" t="inlineStr">
        <is>
          <t>Andhra Pradesh</t>
        </is>
      </c>
      <c r="D11" s="5" t="inlineStr">
        <is>
          <t>National Institute of Technology Andhra Pradesh</t>
        </is>
      </c>
      <c r="E11" t="inlineStr">
        <is>
          <t>INI</t>
        </is>
      </c>
      <c r="G11" s="5" t="n">
        <v>2025</v>
      </c>
      <c r="H11" t="inlineStr">
        <is>
          <t>No</t>
        </is>
      </c>
      <c r="I11" s="5" t="inlineStr">
        <is>
          <t>Tadepalligudem</t>
        </is>
      </c>
      <c r="J11" t="inlineStr">
        <is>
          <t>A</t>
        </is>
      </c>
      <c r="K11" t="n">
        <v>100</v>
      </c>
      <c r="L11" t="inlineStr">
        <is>
          <t>India|National Institute of Technology Andhra Pradesh</t>
        </is>
      </c>
      <c r="N11" t="inlineStr">
        <is>
          <t>Haryana</t>
        </is>
      </c>
      <c r="O11" t="inlineStr">
        <is>
          <t>Ireland</t>
        </is>
      </c>
      <c r="R11" t="inlineStr">
        <is>
          <t>National Institute of Technology Andhra Pradesh</t>
        </is>
      </c>
      <c r="Z11" t="inlineStr">
        <is>
          <t>Rashtriya Raksha University</t>
        </is>
      </c>
      <c r="AE11" s="5" t="n"/>
      <c r="AF11" s="5" t="n"/>
      <c r="AG11" t="inlineStr">
        <is>
          <t>School of Planning and Architecture, Bhopal</t>
        </is>
      </c>
      <c r="AR11" t="inlineStr">
        <is>
          <t>National Institute of Technology Tiruchirappalli</t>
        </is>
      </c>
      <c r="AU11" t="inlineStr">
        <is>
          <t>Indian Institute of Technology (BHU) Varanasi</t>
        </is>
      </c>
      <c r="AW11" t="inlineStr">
        <is>
          <t>National Institute of Technology Durgapur</t>
        </is>
      </c>
      <c r="BS11" t="inlineStr">
        <is>
          <t>University of Birmingham</t>
        </is>
      </c>
      <c r="BT11" t="inlineStr">
        <is>
          <t>Massachusetts Institute of Technology (MIT)</t>
        </is>
      </c>
    </row>
    <row r="12">
      <c r="A12" s="5" t="inlineStr">
        <is>
          <t>Domestic</t>
        </is>
      </c>
      <c r="B12" s="5" t="inlineStr">
        <is>
          <t>India</t>
        </is>
      </c>
      <c r="C12" s="5" t="inlineStr">
        <is>
          <t>Andhra Pradesh</t>
        </is>
      </c>
      <c r="D12" s="5" t="inlineStr">
        <is>
          <t>School of Planning and Architecture, Vijayawada</t>
        </is>
      </c>
      <c r="E12" t="inlineStr">
        <is>
          <t>INI</t>
        </is>
      </c>
      <c r="G12" s="5" t="n">
        <v>2025</v>
      </c>
      <c r="H12" t="inlineStr">
        <is>
          <t>No</t>
        </is>
      </c>
      <c r="I12" s="5" t="inlineStr">
        <is>
          <t>Vijayawada</t>
        </is>
      </c>
      <c r="J12" t="inlineStr">
        <is>
          <t>A</t>
        </is>
      </c>
      <c r="K12" t="n">
        <v>100</v>
      </c>
      <c r="L12" t="inlineStr">
        <is>
          <t>India|School of Planning and Architecture, Vijayawada</t>
        </is>
      </c>
      <c r="N12" t="inlineStr">
        <is>
          <t>Himachal Pradesh</t>
        </is>
      </c>
      <c r="O12" t="inlineStr">
        <is>
          <t>Italy</t>
        </is>
      </c>
      <c r="R12" t="inlineStr">
        <is>
          <t>School of Planning and Architecture, Vijayawada</t>
        </is>
      </c>
      <c r="Z12" t="inlineStr">
        <is>
          <t>Sardar Vallabhbhai National Institute of Technology Surat</t>
        </is>
      </c>
      <c r="AE12" s="5" t="n"/>
      <c r="AF12" s="5" t="n"/>
      <c r="AR12" t="inlineStr">
        <is>
          <t>Rajiv Gandhi National Institute of Youth Development</t>
        </is>
      </c>
      <c r="AU12" t="inlineStr">
        <is>
          <t>Indian Institute of Technology Kanpur</t>
        </is>
      </c>
      <c r="AW12" t="inlineStr">
        <is>
          <t>University of Calcutta</t>
        </is>
      </c>
      <c r="BS12" t="inlineStr">
        <is>
          <t>University of Bristol</t>
        </is>
      </c>
      <c r="BT12" t="inlineStr">
        <is>
          <t>New York University (NYU)</t>
        </is>
      </c>
    </row>
    <row r="13">
      <c r="A13" s="5" t="inlineStr">
        <is>
          <t>Domestic</t>
        </is>
      </c>
      <c r="B13" s="5" t="inlineStr">
        <is>
          <t>India</t>
        </is>
      </c>
      <c r="C13" s="5" t="inlineStr">
        <is>
          <t>Arunachal Pradesh</t>
        </is>
      </c>
      <c r="D13" s="5" t="inlineStr">
        <is>
          <t>National Institute of Technology Arunachal Pradesh</t>
        </is>
      </c>
      <c r="E13" t="inlineStr">
        <is>
          <t>INI</t>
        </is>
      </c>
      <c r="G13" s="5" t="n">
        <v>2025</v>
      </c>
      <c r="H13" t="inlineStr">
        <is>
          <t>No</t>
        </is>
      </c>
      <c r="I13" s="5" t="inlineStr">
        <is>
          <t>Yupia</t>
        </is>
      </c>
      <c r="J13" t="inlineStr">
        <is>
          <t>A</t>
        </is>
      </c>
      <c r="K13" t="n">
        <v>100</v>
      </c>
      <c r="L13" t="inlineStr">
        <is>
          <t>India|National Institute of Technology Arunachal Pradesh</t>
        </is>
      </c>
      <c r="N13" t="inlineStr">
        <is>
          <t>Jammu and Kashmir</t>
        </is>
      </c>
      <c r="O13" t="inlineStr">
        <is>
          <t>Japan</t>
        </is>
      </c>
      <c r="Z13" t="inlineStr">
        <is>
          <t>“Tribhuvan” Sahkari University</t>
        </is>
      </c>
      <c r="AE13" s="5" t="n"/>
      <c r="AF13" s="5" t="n"/>
      <c r="AU13" t="inlineStr">
        <is>
          <t>Motilal Nehru National Institute of Technology Allahabad</t>
        </is>
      </c>
      <c r="AW13" t="inlineStr">
        <is>
          <t>Visva-Bharati</t>
        </is>
      </c>
      <c r="BS13" t="inlineStr">
        <is>
          <t>University of Cambridge</t>
        </is>
      </c>
      <c r="BT13" t="inlineStr">
        <is>
          <t>Northwestern University</t>
        </is>
      </c>
    </row>
    <row r="14">
      <c r="A14" s="5" t="inlineStr">
        <is>
          <t>Domestic</t>
        </is>
      </c>
      <c r="B14" s="5" t="inlineStr">
        <is>
          <t>India</t>
        </is>
      </c>
      <c r="C14" s="5" t="inlineStr">
        <is>
          <t>Assam</t>
        </is>
      </c>
      <c r="D14" s="5" t="inlineStr">
        <is>
          <t>All India Institute of Medical Sciences, Guwahati</t>
        </is>
      </c>
      <c r="E14" t="inlineStr">
        <is>
          <t>INI</t>
        </is>
      </c>
      <c r="G14" s="5" t="n">
        <v>2025</v>
      </c>
      <c r="H14" t="inlineStr">
        <is>
          <t>No</t>
        </is>
      </c>
      <c r="I14" s="5" t="inlineStr">
        <is>
          <t>Guwahati</t>
        </is>
      </c>
      <c r="J14" t="inlineStr">
        <is>
          <t>A</t>
        </is>
      </c>
      <c r="K14" t="n">
        <v>100</v>
      </c>
      <c r="L14" t="inlineStr">
        <is>
          <t>India|All India Institute of Medical Sciences, Guwahati</t>
        </is>
      </c>
      <c r="N14" t="inlineStr">
        <is>
          <t>Jharkhand</t>
        </is>
      </c>
      <c r="O14" t="inlineStr">
        <is>
          <t>Malaysia</t>
        </is>
      </c>
      <c r="AE14" s="5" t="n"/>
      <c r="AF14" s="5" t="n"/>
      <c r="AU14" t="inlineStr">
        <is>
          <t>National Institute of Pharmaceutical Education and Research, Raebareli</t>
        </is>
      </c>
      <c r="BS14" t="inlineStr">
        <is>
          <t>University of Glasgow</t>
        </is>
      </c>
      <c r="BT14" t="inlineStr">
        <is>
          <t>Pennsylvania State University</t>
        </is>
      </c>
    </row>
    <row r="15">
      <c r="A15" s="5" t="inlineStr">
        <is>
          <t>Domestic</t>
        </is>
      </c>
      <c r="B15" s="5" t="inlineStr">
        <is>
          <t>India</t>
        </is>
      </c>
      <c r="C15" s="5" t="inlineStr">
        <is>
          <t>Assam</t>
        </is>
      </c>
      <c r="D15" s="5" t="inlineStr">
        <is>
          <t>Indian Institute of Information Technology, Guwahati</t>
        </is>
      </c>
      <c r="E15" t="inlineStr">
        <is>
          <t>INI</t>
        </is>
      </c>
      <c r="G15" s="5" t="n">
        <v>2025</v>
      </c>
      <c r="H15" t="inlineStr">
        <is>
          <t>No</t>
        </is>
      </c>
      <c r="I15" s="5" t="inlineStr">
        <is>
          <t>Guwahati</t>
        </is>
      </c>
      <c r="J15" t="inlineStr">
        <is>
          <t>A</t>
        </is>
      </c>
      <c r="K15" t="n">
        <v>100</v>
      </c>
      <c r="L15" t="inlineStr">
        <is>
          <t>India|Indian Institute of Information Technology, Guwahati</t>
        </is>
      </c>
      <c r="N15" t="inlineStr">
        <is>
          <t>Karnataka</t>
        </is>
      </c>
      <c r="O15" t="inlineStr">
        <is>
          <t>Netherlands</t>
        </is>
      </c>
      <c r="AE15" s="5" t="n"/>
      <c r="AF15" s="5" t="n"/>
      <c r="AU15" t="inlineStr">
        <is>
          <t>Rajiv Gandhi Institute of Petroleum Technology</t>
        </is>
      </c>
      <c r="BS15" t="inlineStr">
        <is>
          <t>University of Leeds</t>
        </is>
      </c>
      <c r="BT15" t="inlineStr">
        <is>
          <t>Princeton University</t>
        </is>
      </c>
    </row>
    <row r="16">
      <c r="A16" s="5" t="inlineStr">
        <is>
          <t>Domestic</t>
        </is>
      </c>
      <c r="B16" s="5" t="inlineStr">
        <is>
          <t>India</t>
        </is>
      </c>
      <c r="C16" s="5" t="inlineStr">
        <is>
          <t>Assam</t>
        </is>
      </c>
      <c r="D16" s="5" t="inlineStr">
        <is>
          <t>Indian Institute of Management Guwahati</t>
        </is>
      </c>
      <c r="E16" t="inlineStr">
        <is>
          <t>INI</t>
        </is>
      </c>
      <c r="G16" s="5" t="n">
        <v>2025</v>
      </c>
      <c r="H16" t="inlineStr">
        <is>
          <t>No</t>
        </is>
      </c>
      <c r="I16" s="5" t="inlineStr">
        <is>
          <t>Guwahati</t>
        </is>
      </c>
      <c r="J16" t="inlineStr">
        <is>
          <t>A</t>
        </is>
      </c>
      <c r="K16" t="n">
        <v>100</v>
      </c>
      <c r="L16" t="inlineStr">
        <is>
          <t>India|Indian Institute of Management Guwahati</t>
        </is>
      </c>
      <c r="N16" t="inlineStr">
        <is>
          <t>Kerala</t>
        </is>
      </c>
      <c r="O16" t="inlineStr">
        <is>
          <t>New Zealand</t>
        </is>
      </c>
      <c r="AE16" s="5" t="n"/>
      <c r="AF16" s="5" t="n"/>
      <c r="AU16" t="inlineStr">
        <is>
          <t>Rani Lakshmi Bai Central Agricultural University</t>
        </is>
      </c>
      <c r="BS16" t="inlineStr">
        <is>
          <t>University of Nottingham</t>
        </is>
      </c>
      <c r="BT16" t="inlineStr">
        <is>
          <t>Purdue University</t>
        </is>
      </c>
    </row>
    <row r="17">
      <c r="A17" s="5" t="inlineStr">
        <is>
          <t>Domestic</t>
        </is>
      </c>
      <c r="B17" s="5" t="inlineStr">
        <is>
          <t>India</t>
        </is>
      </c>
      <c r="C17" s="5" t="inlineStr">
        <is>
          <t>Assam</t>
        </is>
      </c>
      <c r="D17" s="5" t="inlineStr">
        <is>
          <t>Indian Institute of Technology Guwahati</t>
        </is>
      </c>
      <c r="E17" t="inlineStr">
        <is>
          <t>INI</t>
        </is>
      </c>
      <c r="F17" t="n">
        <v>11</v>
      </c>
      <c r="G17" s="5" t="n">
        <v>2025</v>
      </c>
      <c r="H17" t="inlineStr">
        <is>
          <t>No</t>
        </is>
      </c>
      <c r="I17" s="5" t="inlineStr">
        <is>
          <t>Guwahati</t>
        </is>
      </c>
      <c r="J17" t="inlineStr">
        <is>
          <t>A</t>
        </is>
      </c>
      <c r="K17" t="n">
        <v>100</v>
      </c>
      <c r="L17" t="inlineStr">
        <is>
          <t>India|Indian Institute of Technology Guwahati</t>
        </is>
      </c>
      <c r="N17" t="inlineStr">
        <is>
          <t>Madhya Pradesh</t>
        </is>
      </c>
      <c r="O17" t="inlineStr">
        <is>
          <t>Republic of Korea</t>
        </is>
      </c>
      <c r="AE17" s="5" t="n"/>
      <c r="AF17" s="5" t="n"/>
      <c r="AU17" t="inlineStr">
        <is>
          <t>University of Allahabad</t>
        </is>
      </c>
      <c r="BS17" t="inlineStr">
        <is>
          <t>University of Oxford</t>
        </is>
      </c>
      <c r="BT17" t="inlineStr">
        <is>
          <t>Stanford University</t>
        </is>
      </c>
    </row>
    <row r="18">
      <c r="A18" s="5" t="inlineStr">
        <is>
          <t>Domestic</t>
        </is>
      </c>
      <c r="B18" s="5" t="inlineStr">
        <is>
          <t>India</t>
        </is>
      </c>
      <c r="C18" s="5" t="inlineStr">
        <is>
          <t>Assam</t>
        </is>
      </c>
      <c r="D18" s="5" t="inlineStr">
        <is>
          <t>National Institute of Design, Assam</t>
        </is>
      </c>
      <c r="E18" t="inlineStr">
        <is>
          <t>INI</t>
        </is>
      </c>
      <c r="G18" s="5" t="n">
        <v>2025</v>
      </c>
      <c r="H18" t="inlineStr">
        <is>
          <t>No</t>
        </is>
      </c>
      <c r="I18" s="5" t="inlineStr">
        <is>
          <t>Jorhat</t>
        </is>
      </c>
      <c r="J18" t="inlineStr">
        <is>
          <t>A</t>
        </is>
      </c>
      <c r="K18" t="n">
        <v>100</v>
      </c>
      <c r="L18" t="inlineStr">
        <is>
          <t>India|National Institute of Design, Assam</t>
        </is>
      </c>
      <c r="N18" t="inlineStr">
        <is>
          <t>Maharashtra</t>
        </is>
      </c>
      <c r="O18" t="inlineStr">
        <is>
          <t>Saudi Arabia</t>
        </is>
      </c>
      <c r="AF18" s="5" t="n"/>
      <c r="BT18" t="inlineStr">
        <is>
          <t>University of California, Berkeley (UCB)</t>
        </is>
      </c>
    </row>
    <row r="19">
      <c r="A19" s="5" t="inlineStr">
        <is>
          <t>Domestic</t>
        </is>
      </c>
      <c r="B19" s="5" t="inlineStr">
        <is>
          <t>India</t>
        </is>
      </c>
      <c r="C19" s="5" t="inlineStr">
        <is>
          <t>Assam</t>
        </is>
      </c>
      <c r="D19" s="5" t="inlineStr">
        <is>
          <t>National Institute of Pharmaceutical Education and Research, Guwahati</t>
        </is>
      </c>
      <c r="E19" t="inlineStr">
        <is>
          <t>INI</t>
        </is>
      </c>
      <c r="G19" s="5" t="n">
        <v>2025</v>
      </c>
      <c r="H19" t="inlineStr">
        <is>
          <t>No</t>
        </is>
      </c>
      <c r="I19" s="5" t="inlineStr">
        <is>
          <t>Guwahati</t>
        </is>
      </c>
      <c r="J19" t="inlineStr">
        <is>
          <t>A</t>
        </is>
      </c>
      <c r="K19" t="n">
        <v>100</v>
      </c>
      <c r="L19" t="inlineStr">
        <is>
          <t>India|National Institute of Pharmaceutical Education and Research, Guwahati</t>
        </is>
      </c>
      <c r="N19" t="inlineStr">
        <is>
          <t>Manipur</t>
        </is>
      </c>
      <c r="O19" t="inlineStr">
        <is>
          <t>Singapore</t>
        </is>
      </c>
      <c r="AF19" s="5" t="n"/>
      <c r="BT19" t="inlineStr">
        <is>
          <t>University of California, Los Angeles (UCLA)</t>
        </is>
      </c>
    </row>
    <row r="20">
      <c r="A20" s="5" t="inlineStr">
        <is>
          <t>Domestic</t>
        </is>
      </c>
      <c r="B20" s="5" t="inlineStr">
        <is>
          <t>India</t>
        </is>
      </c>
      <c r="C20" s="5" t="inlineStr">
        <is>
          <t>Assam</t>
        </is>
      </c>
      <c r="D20" s="5" t="inlineStr">
        <is>
          <t>National Institute of Technology Silchar</t>
        </is>
      </c>
      <c r="E20" t="inlineStr">
        <is>
          <t>INI</t>
        </is>
      </c>
      <c r="G20" s="5" t="n">
        <v>2025</v>
      </c>
      <c r="H20" t="inlineStr">
        <is>
          <t>No</t>
        </is>
      </c>
      <c r="I20" s="5" t="inlineStr">
        <is>
          <t>Silchar</t>
        </is>
      </c>
      <c r="J20" t="inlineStr">
        <is>
          <t>A</t>
        </is>
      </c>
      <c r="K20" t="n">
        <v>100</v>
      </c>
      <c r="L20" t="inlineStr">
        <is>
          <t>India|National Institute of Technology Silchar</t>
        </is>
      </c>
      <c r="N20" t="inlineStr">
        <is>
          <t>Meghalaya</t>
        </is>
      </c>
      <c r="O20" t="inlineStr">
        <is>
          <t>Sweden</t>
        </is>
      </c>
      <c r="AF20" s="5" t="n"/>
      <c r="BT20" t="inlineStr">
        <is>
          <t>University of California, San Diego (UCSD)</t>
        </is>
      </c>
    </row>
    <row r="21">
      <c r="A21" s="5" t="inlineStr">
        <is>
          <t>Domestic</t>
        </is>
      </c>
      <c r="B21" s="5" t="inlineStr">
        <is>
          <t>India</t>
        </is>
      </c>
      <c r="C21" s="5" t="inlineStr">
        <is>
          <t>Bihar</t>
        </is>
      </c>
      <c r="D21" s="5" t="inlineStr">
        <is>
          <t>All India Institute of Medical Sciences, Patna</t>
        </is>
      </c>
      <c r="E21" t="inlineStr">
        <is>
          <t>INI</t>
        </is>
      </c>
      <c r="G21" s="5" t="n">
        <v>2025</v>
      </c>
      <c r="H21" t="inlineStr">
        <is>
          <t>No</t>
        </is>
      </c>
      <c r="I21" s="5" t="inlineStr">
        <is>
          <t>Patna</t>
        </is>
      </c>
      <c r="J21" t="inlineStr">
        <is>
          <t>A</t>
        </is>
      </c>
      <c r="K21" t="n">
        <v>100</v>
      </c>
      <c r="L21" t="inlineStr">
        <is>
          <t>India|All India Institute of Medical Sciences, Patna</t>
        </is>
      </c>
      <c r="N21" t="inlineStr">
        <is>
          <t>Mizoram</t>
        </is>
      </c>
      <c r="O21" t="inlineStr">
        <is>
          <t>Switzerland</t>
        </is>
      </c>
      <c r="AF21" s="5" t="n"/>
      <c r="BT21" t="inlineStr">
        <is>
          <t>University of Chicago</t>
        </is>
      </c>
    </row>
    <row r="22">
      <c r="A22" s="5" t="inlineStr">
        <is>
          <t>Domestic</t>
        </is>
      </c>
      <c r="B22" s="5" t="inlineStr">
        <is>
          <t>India</t>
        </is>
      </c>
      <c r="C22" s="5" t="inlineStr">
        <is>
          <t>Bihar</t>
        </is>
      </c>
      <c r="D22" s="5" t="inlineStr">
        <is>
          <t>Dr. Rajendra Prasad Central Agricultural University</t>
        </is>
      </c>
      <c r="E22" t="inlineStr">
        <is>
          <t>INI</t>
        </is>
      </c>
      <c r="G22" s="5" t="n">
        <v>2025</v>
      </c>
      <c r="H22" t="inlineStr">
        <is>
          <t>No</t>
        </is>
      </c>
      <c r="I22" s="5" t="inlineStr">
        <is>
          <t>Pusa, Samastipur</t>
        </is>
      </c>
      <c r="J22" t="inlineStr">
        <is>
          <t>A</t>
        </is>
      </c>
      <c r="K22" t="n">
        <v>100</v>
      </c>
      <c r="L22" t="inlineStr">
        <is>
          <t>India|Dr. Rajendra Prasad Central Agricultural University</t>
        </is>
      </c>
      <c r="N22" t="inlineStr">
        <is>
          <t>Nagaland</t>
        </is>
      </c>
      <c r="O22" t="inlineStr">
        <is>
          <t>Taiwan</t>
        </is>
      </c>
      <c r="AF22" s="5" t="n"/>
      <c r="BT22" t="inlineStr">
        <is>
          <t>University of Illinois Urbana-Champaign</t>
        </is>
      </c>
    </row>
    <row r="23">
      <c r="A23" s="5" t="inlineStr">
        <is>
          <t>Domestic</t>
        </is>
      </c>
      <c r="B23" s="5" t="inlineStr">
        <is>
          <t>India</t>
        </is>
      </c>
      <c r="C23" s="5" t="inlineStr">
        <is>
          <t>Bihar</t>
        </is>
      </c>
      <c r="D23" s="5" t="inlineStr">
        <is>
          <t>Indian Institute of Information Technology, Bhagalpur</t>
        </is>
      </c>
      <c r="E23" t="inlineStr">
        <is>
          <t>INI</t>
        </is>
      </c>
      <c r="G23" s="5" t="n">
        <v>2025</v>
      </c>
      <c r="H23" t="inlineStr">
        <is>
          <t>No</t>
        </is>
      </c>
      <c r="I23" s="5" t="inlineStr">
        <is>
          <t>Bhagalpur</t>
        </is>
      </c>
      <c r="J23" t="inlineStr">
        <is>
          <t>A</t>
        </is>
      </c>
      <c r="K23" t="n">
        <v>100</v>
      </c>
      <c r="L23" t="inlineStr">
        <is>
          <t>India|Indian Institute of Information Technology, Bhagalpur</t>
        </is>
      </c>
      <c r="N23" t="inlineStr">
        <is>
          <t>Odisha</t>
        </is>
      </c>
      <c r="O23" t="inlineStr">
        <is>
          <t>United Kingdom</t>
        </is>
      </c>
      <c r="AF23" s="5" t="n"/>
      <c r="BT23" t="inlineStr">
        <is>
          <t>University of Michigan-Ann Arbor</t>
        </is>
      </c>
    </row>
    <row r="24">
      <c r="A24" s="5" t="inlineStr">
        <is>
          <t>Domestic</t>
        </is>
      </c>
      <c r="B24" s="5" t="inlineStr">
        <is>
          <t>India</t>
        </is>
      </c>
      <c r="C24" s="5" t="inlineStr">
        <is>
          <t>Bihar</t>
        </is>
      </c>
      <c r="D24" s="5" t="inlineStr">
        <is>
          <t>Indian Institute of Management Bodh Gaya</t>
        </is>
      </c>
      <c r="E24" t="inlineStr">
        <is>
          <t>INI</t>
        </is>
      </c>
      <c r="G24" s="5" t="n">
        <v>2025</v>
      </c>
      <c r="H24" t="inlineStr">
        <is>
          <t>No</t>
        </is>
      </c>
      <c r="I24" s="5" t="inlineStr">
        <is>
          <t>Bodh Gaya</t>
        </is>
      </c>
      <c r="J24" t="inlineStr">
        <is>
          <t>A</t>
        </is>
      </c>
      <c r="K24" t="n">
        <v>100</v>
      </c>
      <c r="L24" t="inlineStr">
        <is>
          <t>India|Indian Institute of Management Bodh Gaya</t>
        </is>
      </c>
      <c r="N24" t="inlineStr">
        <is>
          <t>Puducherry</t>
        </is>
      </c>
      <c r="O24" t="inlineStr">
        <is>
          <t>United States</t>
        </is>
      </c>
      <c r="AF24" s="5" t="n"/>
      <c r="BT24" t="inlineStr">
        <is>
          <t>University of Pennsylvania</t>
        </is>
      </c>
    </row>
    <row r="25">
      <c r="A25" s="5" t="inlineStr">
        <is>
          <t>Domestic</t>
        </is>
      </c>
      <c r="B25" s="5" t="inlineStr">
        <is>
          <t>India</t>
        </is>
      </c>
      <c r="C25" s="5" t="inlineStr">
        <is>
          <t>Bihar</t>
        </is>
      </c>
      <c r="D25" s="5" t="inlineStr">
        <is>
          <t>Indian Institute of Technology Patna</t>
        </is>
      </c>
      <c r="E25" t="inlineStr">
        <is>
          <t>INI</t>
        </is>
      </c>
      <c r="F25" t="n">
        <v>36</v>
      </c>
      <c r="G25" t="n">
        <v>2025</v>
      </c>
      <c r="H25" t="inlineStr">
        <is>
          <t>No</t>
        </is>
      </c>
      <c r="I25" s="5" t="inlineStr">
        <is>
          <t>Patna</t>
        </is>
      </c>
      <c r="J25" t="inlineStr">
        <is>
          <t>A</t>
        </is>
      </c>
      <c r="K25" t="n">
        <v>100</v>
      </c>
      <c r="L25" t="inlineStr">
        <is>
          <t>India|Indian Institute of Technology Patna</t>
        </is>
      </c>
      <c r="N25" t="inlineStr">
        <is>
          <t>Punjab</t>
        </is>
      </c>
      <c r="AF25" s="5" t="n"/>
      <c r="BT25" t="inlineStr">
        <is>
          <t>University of Texas at Austin</t>
        </is>
      </c>
    </row>
    <row r="26">
      <c r="A26" s="5" t="inlineStr">
        <is>
          <t>Domestic</t>
        </is>
      </c>
      <c r="B26" s="5" t="inlineStr">
        <is>
          <t>India</t>
        </is>
      </c>
      <c r="C26" s="5" t="inlineStr">
        <is>
          <t>Bihar</t>
        </is>
      </c>
      <c r="D26" s="5" t="inlineStr">
        <is>
          <t>Nalanda University</t>
        </is>
      </c>
      <c r="E26" t="inlineStr">
        <is>
          <t>INI</t>
        </is>
      </c>
      <c r="G26" t="n">
        <v>2025</v>
      </c>
      <c r="H26" t="inlineStr">
        <is>
          <t>No</t>
        </is>
      </c>
      <c r="I26" s="5" t="inlineStr">
        <is>
          <t>Rajgir</t>
        </is>
      </c>
      <c r="J26" t="inlineStr">
        <is>
          <t>A</t>
        </is>
      </c>
      <c r="K26" t="n">
        <v>100</v>
      </c>
      <c r="L26" t="inlineStr">
        <is>
          <t>India|Nalanda University</t>
        </is>
      </c>
      <c r="N26" t="inlineStr">
        <is>
          <t>Rajasthan</t>
        </is>
      </c>
      <c r="AF26" s="5" t="n"/>
      <c r="BT26" t="inlineStr">
        <is>
          <t>University of Washington</t>
        </is>
      </c>
    </row>
    <row r="27">
      <c r="A27" s="5" t="inlineStr">
        <is>
          <t>Domestic</t>
        </is>
      </c>
      <c r="B27" s="5" t="inlineStr">
        <is>
          <t>India</t>
        </is>
      </c>
      <c r="C27" s="5" t="inlineStr">
        <is>
          <t>Bihar</t>
        </is>
      </c>
      <c r="D27" s="5" t="inlineStr">
        <is>
          <t>National Institute of Pharmaceutical Education and Research, Hajipur</t>
        </is>
      </c>
      <c r="E27" t="inlineStr">
        <is>
          <t>INI</t>
        </is>
      </c>
      <c r="G27" t="n">
        <v>2025</v>
      </c>
      <c r="H27" t="inlineStr">
        <is>
          <t>No</t>
        </is>
      </c>
      <c r="I27" s="5" t="inlineStr">
        <is>
          <t>Hajipur</t>
        </is>
      </c>
      <c r="J27" t="inlineStr">
        <is>
          <t>A</t>
        </is>
      </c>
      <c r="K27" t="n">
        <v>100</v>
      </c>
      <c r="L27" t="inlineStr">
        <is>
          <t>India|National Institute of Pharmaceutical Education and Research, Hajipur</t>
        </is>
      </c>
      <c r="N27" t="inlineStr">
        <is>
          <t>Sikkim</t>
        </is>
      </c>
      <c r="AF27" s="5" t="n"/>
      <c r="BT27" t="inlineStr">
        <is>
          <t>Yale University</t>
        </is>
      </c>
    </row>
    <row r="28">
      <c r="A28" s="5" t="inlineStr">
        <is>
          <t>Domestic</t>
        </is>
      </c>
      <c r="B28" s="5" t="inlineStr">
        <is>
          <t>India</t>
        </is>
      </c>
      <c r="C28" s="5" t="inlineStr">
        <is>
          <t>Bihar</t>
        </is>
      </c>
      <c r="D28" s="5" t="inlineStr">
        <is>
          <t>National Institute of Technology Patna</t>
        </is>
      </c>
      <c r="E28" t="inlineStr">
        <is>
          <t>INI</t>
        </is>
      </c>
      <c r="G28" t="n">
        <v>2025</v>
      </c>
      <c r="H28" t="inlineStr">
        <is>
          <t>No</t>
        </is>
      </c>
      <c r="I28" s="5" t="inlineStr">
        <is>
          <t>Patna</t>
        </is>
      </c>
      <c r="J28" t="inlineStr">
        <is>
          <t>A</t>
        </is>
      </c>
      <c r="K28" t="n">
        <v>100</v>
      </c>
      <c r="L28" t="inlineStr">
        <is>
          <t>India|National Institute of Technology Patna</t>
        </is>
      </c>
      <c r="N28" t="inlineStr">
        <is>
          <t>Tamil Nadu</t>
        </is>
      </c>
    </row>
    <row r="29">
      <c r="A29" s="5" t="inlineStr">
        <is>
          <t>Domestic</t>
        </is>
      </c>
      <c r="B29" s="5" t="inlineStr">
        <is>
          <t>India</t>
        </is>
      </c>
      <c r="C29" s="5" t="inlineStr">
        <is>
          <t>Chandigarh</t>
        </is>
      </c>
      <c r="D29" s="5" t="inlineStr">
        <is>
          <t>Postgraduate Institute of Medical Education and Research</t>
        </is>
      </c>
      <c r="E29" t="inlineStr">
        <is>
          <t>INI</t>
        </is>
      </c>
      <c r="F29" t="n">
        <v>33</v>
      </c>
      <c r="G29" t="n">
        <v>2025</v>
      </c>
      <c r="H29" t="inlineStr">
        <is>
          <t>No</t>
        </is>
      </c>
      <c r="I29" s="5" t="inlineStr">
        <is>
          <t>Chandigarh</t>
        </is>
      </c>
      <c r="J29" t="inlineStr">
        <is>
          <t>A</t>
        </is>
      </c>
      <c r="K29" t="n">
        <v>100</v>
      </c>
      <c r="L29" t="inlineStr">
        <is>
          <t>India|Postgraduate Institute of Medical Education and Research</t>
        </is>
      </c>
      <c r="N29" t="inlineStr">
        <is>
          <t>Telangana</t>
        </is>
      </c>
    </row>
    <row r="30">
      <c r="A30" s="5" t="inlineStr">
        <is>
          <t>Domestic</t>
        </is>
      </c>
      <c r="B30" s="5" t="inlineStr">
        <is>
          <t>India</t>
        </is>
      </c>
      <c r="C30" s="5" t="inlineStr">
        <is>
          <t>Chhattisgarh</t>
        </is>
      </c>
      <c r="D30" s="5" t="inlineStr">
        <is>
          <t>All India Institute of Medical Sciences, Raipur</t>
        </is>
      </c>
      <c r="E30" t="inlineStr">
        <is>
          <t>INI</t>
        </is>
      </c>
      <c r="G30" t="n">
        <v>2025</v>
      </c>
      <c r="H30" t="inlineStr">
        <is>
          <t>No</t>
        </is>
      </c>
      <c r="I30" s="5" t="inlineStr">
        <is>
          <t>Raipur</t>
        </is>
      </c>
      <c r="J30" t="inlineStr">
        <is>
          <t>A</t>
        </is>
      </c>
      <c r="K30" t="n">
        <v>100</v>
      </c>
      <c r="L30" t="inlineStr">
        <is>
          <t>India|All India Institute of Medical Sciences, Raipur</t>
        </is>
      </c>
      <c r="N30" t="inlineStr">
        <is>
          <t>Tripura</t>
        </is>
      </c>
    </row>
    <row r="31">
      <c r="A31" s="5" t="inlineStr">
        <is>
          <t>Domestic</t>
        </is>
      </c>
      <c r="B31" s="5" t="inlineStr">
        <is>
          <t>India</t>
        </is>
      </c>
      <c r="C31" s="5" t="inlineStr">
        <is>
          <t>Chhattisgarh</t>
        </is>
      </c>
      <c r="D31" s="5" t="inlineStr">
        <is>
          <t>Indian Institute of Management Raipur</t>
        </is>
      </c>
      <c r="E31" t="inlineStr">
        <is>
          <t>INI</t>
        </is>
      </c>
      <c r="G31" t="n">
        <v>2025</v>
      </c>
      <c r="H31" t="inlineStr">
        <is>
          <t>No</t>
        </is>
      </c>
      <c r="I31" s="5" t="inlineStr">
        <is>
          <t>Raipur</t>
        </is>
      </c>
      <c r="J31" t="inlineStr">
        <is>
          <t>A</t>
        </is>
      </c>
      <c r="K31" t="n">
        <v>100</v>
      </c>
      <c r="L31" t="inlineStr">
        <is>
          <t>India|Indian Institute of Management Raipur</t>
        </is>
      </c>
      <c r="N31" t="inlineStr">
        <is>
          <t>Uttar Pradesh</t>
        </is>
      </c>
    </row>
    <row r="32">
      <c r="A32" s="5" t="inlineStr">
        <is>
          <t>Domestic</t>
        </is>
      </c>
      <c r="B32" s="5" t="inlineStr">
        <is>
          <t>India</t>
        </is>
      </c>
      <c r="C32" s="5" t="inlineStr">
        <is>
          <t>Chhattisgarh</t>
        </is>
      </c>
      <c r="D32" s="5" t="inlineStr">
        <is>
          <t>Indian Institute of Technology Bhilai</t>
        </is>
      </c>
      <c r="E32" t="inlineStr">
        <is>
          <t>INI</t>
        </is>
      </c>
      <c r="G32" t="n">
        <v>2025</v>
      </c>
      <c r="H32" t="inlineStr">
        <is>
          <t>No</t>
        </is>
      </c>
      <c r="I32" s="5" t="inlineStr">
        <is>
          <t>Bhilai</t>
        </is>
      </c>
      <c r="J32" t="inlineStr">
        <is>
          <t>A</t>
        </is>
      </c>
      <c r="K32" t="n">
        <v>100</v>
      </c>
      <c r="L32" t="inlineStr">
        <is>
          <t>India|Indian Institute of Technology Bhilai</t>
        </is>
      </c>
      <c r="N32" t="inlineStr">
        <is>
          <t>Uttarakhand</t>
        </is>
      </c>
    </row>
    <row r="33">
      <c r="A33" s="5" t="inlineStr">
        <is>
          <t>Domestic</t>
        </is>
      </c>
      <c r="B33" s="5" t="inlineStr">
        <is>
          <t>India</t>
        </is>
      </c>
      <c r="C33" s="5" t="inlineStr">
        <is>
          <t>Chhattisgarh</t>
        </is>
      </c>
      <c r="D33" s="5" t="inlineStr">
        <is>
          <t>National Institute of Technology Raipur</t>
        </is>
      </c>
      <c r="E33" t="inlineStr">
        <is>
          <t>INI</t>
        </is>
      </c>
      <c r="G33" t="n">
        <v>2025</v>
      </c>
      <c r="H33" t="inlineStr">
        <is>
          <t>No</t>
        </is>
      </c>
      <c r="I33" s="5" t="inlineStr">
        <is>
          <t>Raipur</t>
        </is>
      </c>
      <c r="J33" t="inlineStr">
        <is>
          <t>A</t>
        </is>
      </c>
      <c r="K33" t="n">
        <v>100</v>
      </c>
      <c r="L33" t="inlineStr">
        <is>
          <t>India|National Institute of Technology Raipur</t>
        </is>
      </c>
      <c r="N33" t="inlineStr">
        <is>
          <t>West Bengal</t>
        </is>
      </c>
    </row>
    <row r="34">
      <c r="A34" s="5" t="inlineStr">
        <is>
          <t>Domestic</t>
        </is>
      </c>
      <c r="B34" s="5" t="inlineStr">
        <is>
          <t>India</t>
        </is>
      </c>
      <c r="C34" s="5" t="inlineStr">
        <is>
          <t>Delhi</t>
        </is>
      </c>
      <c r="D34" s="5" t="inlineStr">
        <is>
          <t>All India Institute of Medical Sciences, New Delhi</t>
        </is>
      </c>
      <c r="E34" t="inlineStr">
        <is>
          <t>INI</t>
        </is>
      </c>
      <c r="F34" t="n">
        <v>8</v>
      </c>
      <c r="G34" t="n">
        <v>2025</v>
      </c>
      <c r="H34" t="inlineStr">
        <is>
          <t>No</t>
        </is>
      </c>
      <c r="I34" s="5" t="inlineStr">
        <is>
          <t>New Delhi</t>
        </is>
      </c>
      <c r="J34" t="inlineStr">
        <is>
          <t>A</t>
        </is>
      </c>
      <c r="K34" t="n">
        <v>100</v>
      </c>
      <c r="L34" t="inlineStr">
        <is>
          <t>India|All India Institute of Medical Sciences, New Delhi</t>
        </is>
      </c>
    </row>
    <row r="35">
      <c r="A35" s="5" t="inlineStr">
        <is>
          <t>Domestic</t>
        </is>
      </c>
      <c r="B35" s="5" t="inlineStr">
        <is>
          <t>India</t>
        </is>
      </c>
      <c r="C35" s="5" t="inlineStr">
        <is>
          <t>Delhi</t>
        </is>
      </c>
      <c r="D35" s="5" t="inlineStr">
        <is>
          <t>Indian Agricultural Research Institute</t>
        </is>
      </c>
      <c r="E35" t="inlineStr">
        <is>
          <t>NIRF Top 50</t>
        </is>
      </c>
      <c r="F35" t="n">
        <v>24</v>
      </c>
      <c r="G35" t="n">
        <v>2025</v>
      </c>
      <c r="H35" t="inlineStr">
        <is>
          <t>No</t>
        </is>
      </c>
      <c r="I35" s="5" t="inlineStr">
        <is>
          <t>New Delhi</t>
        </is>
      </c>
      <c r="J35" t="inlineStr">
        <is>
          <t>C</t>
        </is>
      </c>
      <c r="K35" t="n">
        <v>90</v>
      </c>
      <c r="L35" t="inlineStr">
        <is>
          <t>India|Indian Agricultural Research Institute</t>
        </is>
      </c>
    </row>
    <row r="36">
      <c r="A36" s="5" t="inlineStr">
        <is>
          <t>Domestic</t>
        </is>
      </c>
      <c r="B36" s="5" t="inlineStr">
        <is>
          <t>India</t>
        </is>
      </c>
      <c r="C36" s="5" t="inlineStr">
        <is>
          <t>Delhi</t>
        </is>
      </c>
      <c r="D36" s="5" t="inlineStr">
        <is>
          <t>Indian Institute of Technology Delhi</t>
        </is>
      </c>
      <c r="E36" t="inlineStr">
        <is>
          <t>INI</t>
        </is>
      </c>
      <c r="F36" t="n">
        <v>4</v>
      </c>
      <c r="G36" t="n">
        <v>2025</v>
      </c>
      <c r="H36" t="inlineStr">
        <is>
          <t>No</t>
        </is>
      </c>
      <c r="I36" s="5" t="inlineStr">
        <is>
          <t>New Delhi</t>
        </is>
      </c>
      <c r="J36" t="inlineStr">
        <is>
          <t>A</t>
        </is>
      </c>
      <c r="K36" t="n">
        <v>100</v>
      </c>
      <c r="L36" t="inlineStr">
        <is>
          <t>India|Indian Institute of Technology Delhi</t>
        </is>
      </c>
    </row>
    <row r="37">
      <c r="A37" s="5" t="inlineStr">
        <is>
          <t>Domestic</t>
        </is>
      </c>
      <c r="B37" s="5" t="inlineStr">
        <is>
          <t>India</t>
        </is>
      </c>
      <c r="C37" s="5" t="inlineStr">
        <is>
          <t>Delhi</t>
        </is>
      </c>
      <c r="D37" s="5" t="inlineStr">
        <is>
          <t>Jamia Millia Islamia</t>
        </is>
      </c>
      <c r="E37" t="inlineStr">
        <is>
          <t>NIRF Top 50</t>
        </is>
      </c>
      <c r="F37" t="n">
        <v>13</v>
      </c>
      <c r="G37" t="n">
        <v>2025</v>
      </c>
      <c r="H37" t="inlineStr">
        <is>
          <t>No</t>
        </is>
      </c>
      <c r="I37" s="5" t="inlineStr">
        <is>
          <t>New Delhi</t>
        </is>
      </c>
      <c r="J37" t="inlineStr">
        <is>
          <t>C</t>
        </is>
      </c>
      <c r="K37" t="n">
        <v>90</v>
      </c>
      <c r="L37" t="inlineStr">
        <is>
          <t>India|Jamia Millia Islamia</t>
        </is>
      </c>
    </row>
    <row r="38">
      <c r="A38" s="5" t="inlineStr">
        <is>
          <t>Domestic</t>
        </is>
      </c>
      <c r="B38" s="5" t="inlineStr">
        <is>
          <t>India</t>
        </is>
      </c>
      <c r="C38" s="5" t="inlineStr">
        <is>
          <t>Delhi</t>
        </is>
      </c>
      <c r="D38" s="5" t="inlineStr">
        <is>
          <t>Jawaharlal Nehru University</t>
        </is>
      </c>
      <c r="E38" t="inlineStr">
        <is>
          <t>NIRF Top 50</t>
        </is>
      </c>
      <c r="F38" t="n">
        <v>9</v>
      </c>
      <c r="G38" t="n">
        <v>2025</v>
      </c>
      <c r="H38" t="inlineStr">
        <is>
          <t>No</t>
        </is>
      </c>
      <c r="I38" s="5" t="inlineStr">
        <is>
          <t>New Delhi</t>
        </is>
      </c>
      <c r="J38" t="inlineStr">
        <is>
          <t>C</t>
        </is>
      </c>
      <c r="K38" t="n">
        <v>100</v>
      </c>
      <c r="L38" t="inlineStr">
        <is>
          <t>India|Jawaharlal Nehru University</t>
        </is>
      </c>
    </row>
    <row r="39">
      <c r="A39" s="5" t="inlineStr">
        <is>
          <t>Domestic</t>
        </is>
      </c>
      <c r="B39" s="5" t="inlineStr">
        <is>
          <t>India</t>
        </is>
      </c>
      <c r="C39" s="5" t="inlineStr">
        <is>
          <t>Delhi</t>
        </is>
      </c>
      <c r="D39" s="5" t="inlineStr">
        <is>
          <t>National Institute of Technology Delhi</t>
        </is>
      </c>
      <c r="E39" t="inlineStr">
        <is>
          <t>INI</t>
        </is>
      </c>
      <c r="G39" t="n">
        <v>2025</v>
      </c>
      <c r="H39" t="inlineStr">
        <is>
          <t>No</t>
        </is>
      </c>
      <c r="I39" s="5" t="inlineStr">
        <is>
          <t>New Delhi</t>
        </is>
      </c>
      <c r="J39" t="inlineStr">
        <is>
          <t>A</t>
        </is>
      </c>
      <c r="K39" t="n">
        <v>100</v>
      </c>
      <c r="L39" t="inlineStr">
        <is>
          <t>India|National Institute of Technology Delhi</t>
        </is>
      </c>
    </row>
    <row r="40">
      <c r="A40" s="5" t="inlineStr">
        <is>
          <t>Domestic</t>
        </is>
      </c>
      <c r="B40" s="5" t="inlineStr">
        <is>
          <t>India</t>
        </is>
      </c>
      <c r="C40" s="5" t="inlineStr">
        <is>
          <t>Delhi</t>
        </is>
      </c>
      <c r="D40" s="5" t="inlineStr">
        <is>
          <t>School of Planning and Architecture, New Delhi</t>
        </is>
      </c>
      <c r="E40" t="inlineStr">
        <is>
          <t>INI</t>
        </is>
      </c>
      <c r="G40" t="n">
        <v>2025</v>
      </c>
      <c r="H40" t="inlineStr">
        <is>
          <t>No</t>
        </is>
      </c>
      <c r="I40" s="5" t="inlineStr">
        <is>
          <t>New Delhi</t>
        </is>
      </c>
      <c r="J40" t="inlineStr">
        <is>
          <t>A</t>
        </is>
      </c>
      <c r="K40" t="n">
        <v>100</v>
      </c>
      <c r="L40" t="inlineStr">
        <is>
          <t>India|School of Planning and Architecture, New Delhi</t>
        </is>
      </c>
    </row>
    <row r="41">
      <c r="A41" s="5" t="inlineStr">
        <is>
          <t>Domestic</t>
        </is>
      </c>
      <c r="B41" s="5" t="inlineStr">
        <is>
          <t>India</t>
        </is>
      </c>
      <c r="C41" s="5" t="inlineStr">
        <is>
          <t>Delhi</t>
        </is>
      </c>
      <c r="D41" s="5" t="inlineStr">
        <is>
          <t>University of Delhi</t>
        </is>
      </c>
      <c r="E41" t="inlineStr">
        <is>
          <t>INI</t>
        </is>
      </c>
      <c r="F41" t="n">
        <v>15</v>
      </c>
      <c r="G41" t="n">
        <v>2025</v>
      </c>
      <c r="H41" t="inlineStr">
        <is>
          <t>No</t>
        </is>
      </c>
      <c r="I41" s="5" t="inlineStr">
        <is>
          <t>Delhi</t>
        </is>
      </c>
      <c r="J41" t="inlineStr">
        <is>
          <t>A</t>
        </is>
      </c>
      <c r="K41" t="n">
        <v>100</v>
      </c>
      <c r="L41" t="inlineStr">
        <is>
          <t>India|University of Delhi</t>
        </is>
      </c>
    </row>
    <row r="42">
      <c r="A42" s="5" t="inlineStr">
        <is>
          <t>Domestic</t>
        </is>
      </c>
      <c r="B42" s="5" t="inlineStr">
        <is>
          <t>India</t>
        </is>
      </c>
      <c r="C42" s="5" t="inlineStr">
        <is>
          <t>Goa</t>
        </is>
      </c>
      <c r="D42" s="5" t="inlineStr">
        <is>
          <t>Indian Institute of Technology Goa</t>
        </is>
      </c>
      <c r="E42" t="inlineStr">
        <is>
          <t>INI</t>
        </is>
      </c>
      <c r="G42" t="n">
        <v>2025</v>
      </c>
      <c r="H42" t="inlineStr">
        <is>
          <t>No</t>
        </is>
      </c>
      <c r="I42" s="5" t="inlineStr">
        <is>
          <t>Farmagudi</t>
        </is>
      </c>
      <c r="J42" t="inlineStr">
        <is>
          <t>A</t>
        </is>
      </c>
      <c r="K42" t="n">
        <v>100</v>
      </c>
      <c r="L42" t="inlineStr">
        <is>
          <t>India|Indian Institute of Technology Goa</t>
        </is>
      </c>
    </row>
    <row r="43">
      <c r="A43" s="5" t="inlineStr">
        <is>
          <t>Domestic</t>
        </is>
      </c>
      <c r="B43" s="5" t="inlineStr">
        <is>
          <t>India</t>
        </is>
      </c>
      <c r="C43" s="5" t="inlineStr">
        <is>
          <t>Goa</t>
        </is>
      </c>
      <c r="D43" s="5" t="inlineStr">
        <is>
          <t>National Institute of Technology Goa</t>
        </is>
      </c>
      <c r="E43" t="inlineStr">
        <is>
          <t>INI</t>
        </is>
      </c>
      <c r="G43" t="n">
        <v>2025</v>
      </c>
      <c r="H43" t="inlineStr">
        <is>
          <t>No</t>
        </is>
      </c>
      <c r="I43" s="5" t="inlineStr">
        <is>
          <t>Farmagudi</t>
        </is>
      </c>
      <c r="J43" t="inlineStr">
        <is>
          <t>A</t>
        </is>
      </c>
      <c r="K43" t="n">
        <v>100</v>
      </c>
      <c r="L43" t="inlineStr">
        <is>
          <t>India|National Institute of Technology Goa</t>
        </is>
      </c>
    </row>
    <row r="44">
      <c r="A44" s="5" t="inlineStr">
        <is>
          <t>Domestic</t>
        </is>
      </c>
      <c r="B44" s="5" t="inlineStr">
        <is>
          <t>India</t>
        </is>
      </c>
      <c r="C44" s="5" t="inlineStr">
        <is>
          <t>Gujarat</t>
        </is>
      </c>
      <c r="D44" s="5" t="inlineStr">
        <is>
          <t>All India Institute of Medical Sciences, Rajkot</t>
        </is>
      </c>
      <c r="E44" t="inlineStr">
        <is>
          <t>INI</t>
        </is>
      </c>
      <c r="G44" t="n">
        <v>2025</v>
      </c>
      <c r="H44" t="inlineStr">
        <is>
          <t>No</t>
        </is>
      </c>
      <c r="I44" s="5" t="inlineStr">
        <is>
          <t>Rajkot</t>
        </is>
      </c>
      <c r="J44" t="inlineStr">
        <is>
          <t>A</t>
        </is>
      </c>
      <c r="K44" t="n">
        <v>100</v>
      </c>
      <c r="L44" t="inlineStr">
        <is>
          <t>India|All India Institute of Medical Sciences, Rajkot</t>
        </is>
      </c>
    </row>
    <row r="45">
      <c r="A45" s="5" t="inlineStr">
        <is>
          <t>Domestic</t>
        </is>
      </c>
      <c r="B45" s="5" t="inlineStr">
        <is>
          <t>India</t>
        </is>
      </c>
      <c r="C45" s="5" t="inlineStr">
        <is>
          <t>Gujarat</t>
        </is>
      </c>
      <c r="D45" s="5" t="inlineStr">
        <is>
          <t>Indian Institute of Information Technology, Surat</t>
        </is>
      </c>
      <c r="E45" t="inlineStr">
        <is>
          <t>INI</t>
        </is>
      </c>
      <c r="G45" t="n">
        <v>2025</v>
      </c>
      <c r="H45" t="inlineStr">
        <is>
          <t>No</t>
        </is>
      </c>
      <c r="I45" s="5" t="inlineStr">
        <is>
          <t>Surat</t>
        </is>
      </c>
      <c r="J45" t="inlineStr">
        <is>
          <t>A</t>
        </is>
      </c>
      <c r="K45" t="n">
        <v>100</v>
      </c>
      <c r="L45" t="inlineStr">
        <is>
          <t>India|Indian Institute of Information Technology, Surat</t>
        </is>
      </c>
    </row>
    <row r="46">
      <c r="A46" s="5" t="inlineStr">
        <is>
          <t>Domestic</t>
        </is>
      </c>
      <c r="B46" s="5" t="inlineStr">
        <is>
          <t>India</t>
        </is>
      </c>
      <c r="C46" s="5" t="inlineStr">
        <is>
          <t>Gujarat</t>
        </is>
      </c>
      <c r="D46" s="5" t="inlineStr">
        <is>
          <t>Indian Institute of Information Technology, Vadodara</t>
        </is>
      </c>
      <c r="E46" t="inlineStr">
        <is>
          <t>INI</t>
        </is>
      </c>
      <c r="G46" t="n">
        <v>2025</v>
      </c>
      <c r="H46" t="inlineStr">
        <is>
          <t>No</t>
        </is>
      </c>
      <c r="I46" s="5" t="inlineStr">
        <is>
          <t>Vadodara</t>
        </is>
      </c>
      <c r="J46" t="inlineStr">
        <is>
          <t>A</t>
        </is>
      </c>
      <c r="K46" t="n">
        <v>100</v>
      </c>
      <c r="L46" t="inlineStr">
        <is>
          <t>India|Indian Institute of Information Technology, Vadodara</t>
        </is>
      </c>
    </row>
    <row r="47">
      <c r="A47" s="5" t="inlineStr">
        <is>
          <t>Domestic</t>
        </is>
      </c>
      <c r="B47" s="5" t="inlineStr">
        <is>
          <t>India</t>
        </is>
      </c>
      <c r="C47" s="5" t="inlineStr">
        <is>
          <t>Gujarat</t>
        </is>
      </c>
      <c r="D47" s="5" t="inlineStr">
        <is>
          <t>Indian Institute of Management Ahmedabad</t>
        </is>
      </c>
      <c r="E47" t="inlineStr">
        <is>
          <t>INI</t>
        </is>
      </c>
      <c r="G47" t="n">
        <v>2025</v>
      </c>
      <c r="H47" t="inlineStr">
        <is>
          <t>No</t>
        </is>
      </c>
      <c r="I47" s="5" t="inlineStr">
        <is>
          <t>Ahmedabad</t>
        </is>
      </c>
      <c r="J47" t="inlineStr">
        <is>
          <t>A</t>
        </is>
      </c>
      <c r="K47" t="n">
        <v>100</v>
      </c>
      <c r="L47" t="inlineStr">
        <is>
          <t>India|Indian Institute of Management Ahmedabad</t>
        </is>
      </c>
    </row>
    <row r="48">
      <c r="A48" s="5" t="inlineStr">
        <is>
          <t>Domestic</t>
        </is>
      </c>
      <c r="B48" s="5" t="inlineStr">
        <is>
          <t>India</t>
        </is>
      </c>
      <c r="C48" s="5" t="inlineStr">
        <is>
          <t>Gujarat</t>
        </is>
      </c>
      <c r="D48" s="5" t="inlineStr">
        <is>
          <t>Indian Institute of Technology Gandhinagar</t>
        </is>
      </c>
      <c r="E48" t="inlineStr">
        <is>
          <t>INI</t>
        </is>
      </c>
      <c r="F48" t="n">
        <v>39</v>
      </c>
      <c r="G48" t="n">
        <v>2025</v>
      </c>
      <c r="H48" t="inlineStr">
        <is>
          <t>No</t>
        </is>
      </c>
      <c r="I48" s="5" t="inlineStr">
        <is>
          <t>Gandhinagar</t>
        </is>
      </c>
      <c r="J48" t="inlineStr">
        <is>
          <t>A</t>
        </is>
      </c>
      <c r="K48" t="n">
        <v>100</v>
      </c>
      <c r="L48" t="inlineStr">
        <is>
          <t>India|Indian Institute of Technology Gandhinagar</t>
        </is>
      </c>
    </row>
    <row r="49">
      <c r="A49" s="5" t="inlineStr">
        <is>
          <t>Domestic</t>
        </is>
      </c>
      <c r="B49" s="5" t="inlineStr">
        <is>
          <t>India</t>
        </is>
      </c>
      <c r="C49" s="5" t="inlineStr">
        <is>
          <t>Gujarat</t>
        </is>
      </c>
      <c r="D49" s="5" t="inlineStr">
        <is>
          <t>Institute of Teaching and Research in Ayurveda</t>
        </is>
      </c>
      <c r="E49" t="inlineStr">
        <is>
          <t>INI</t>
        </is>
      </c>
      <c r="G49" t="n">
        <v>2025</v>
      </c>
      <c r="H49" t="inlineStr">
        <is>
          <t>No</t>
        </is>
      </c>
      <c r="I49" s="5" t="inlineStr">
        <is>
          <t>Jamnagar</t>
        </is>
      </c>
      <c r="J49" t="inlineStr">
        <is>
          <t>A</t>
        </is>
      </c>
      <c r="K49" t="n">
        <v>100</v>
      </c>
      <c r="L49" t="inlineStr">
        <is>
          <t>India|Institute of Teaching and Research in Ayurveda</t>
        </is>
      </c>
    </row>
    <row r="50">
      <c r="A50" s="5" t="inlineStr">
        <is>
          <t>Domestic</t>
        </is>
      </c>
      <c r="B50" s="5" t="inlineStr">
        <is>
          <t>India</t>
        </is>
      </c>
      <c r="C50" s="5" t="inlineStr">
        <is>
          <t>Gujarat</t>
        </is>
      </c>
      <c r="D50" s="5" t="inlineStr">
        <is>
          <t>National Forensic Sciences University</t>
        </is>
      </c>
      <c r="E50" t="inlineStr">
        <is>
          <t>INI</t>
        </is>
      </c>
      <c r="G50" t="n">
        <v>2025</v>
      </c>
      <c r="H50" t="inlineStr">
        <is>
          <t>No</t>
        </is>
      </c>
      <c r="I50" s="5" t="inlineStr">
        <is>
          <t>Gandhinagar</t>
        </is>
      </c>
      <c r="J50" t="inlineStr">
        <is>
          <t>A</t>
        </is>
      </c>
      <c r="K50" t="n">
        <v>100</v>
      </c>
      <c r="L50" t="inlineStr">
        <is>
          <t>India|National Forensic Sciences University</t>
        </is>
      </c>
    </row>
    <row r="51">
      <c r="A51" s="5" t="inlineStr">
        <is>
          <t>Domestic</t>
        </is>
      </c>
      <c r="B51" s="5" t="inlineStr">
        <is>
          <t>India</t>
        </is>
      </c>
      <c r="C51" s="5" t="inlineStr">
        <is>
          <t>Gujarat</t>
        </is>
      </c>
      <c r="D51" s="5" t="inlineStr">
        <is>
          <t>National Institute of Design, Ahmedabad</t>
        </is>
      </c>
      <c r="E51" t="inlineStr">
        <is>
          <t>INI</t>
        </is>
      </c>
      <c r="G51" t="n">
        <v>2025</v>
      </c>
      <c r="H51" t="inlineStr">
        <is>
          <t>No</t>
        </is>
      </c>
      <c r="I51" s="5" t="inlineStr">
        <is>
          <t>Ahmedabad</t>
        </is>
      </c>
      <c r="J51" t="inlineStr">
        <is>
          <t>A</t>
        </is>
      </c>
      <c r="K51" t="n">
        <v>100</v>
      </c>
      <c r="L51" t="inlineStr">
        <is>
          <t>India|National Institute of Design, Ahmedabad</t>
        </is>
      </c>
    </row>
    <row r="52">
      <c r="A52" s="5" t="inlineStr">
        <is>
          <t>Domestic</t>
        </is>
      </c>
      <c r="B52" s="5" t="inlineStr">
        <is>
          <t>India</t>
        </is>
      </c>
      <c r="C52" s="5" t="inlineStr">
        <is>
          <t>Gujarat</t>
        </is>
      </c>
      <c r="D52" s="5" t="inlineStr">
        <is>
          <t>National Institute of Pharmaceutical Education and Research, Ahmedabad</t>
        </is>
      </c>
      <c r="E52" t="inlineStr">
        <is>
          <t>INI</t>
        </is>
      </c>
      <c r="G52" t="n">
        <v>2025</v>
      </c>
      <c r="H52" t="inlineStr">
        <is>
          <t>No</t>
        </is>
      </c>
      <c r="I52" s="5" t="inlineStr">
        <is>
          <t>Ahmedabad</t>
        </is>
      </c>
      <c r="J52" t="inlineStr">
        <is>
          <t>A</t>
        </is>
      </c>
      <c r="K52" t="n">
        <v>100</v>
      </c>
      <c r="L52" t="inlineStr">
        <is>
          <t>India|National Institute of Pharmaceutical Education and Research, Ahmedabad</t>
        </is>
      </c>
    </row>
    <row r="53">
      <c r="A53" s="5" t="inlineStr">
        <is>
          <t>Domestic</t>
        </is>
      </c>
      <c r="B53" s="5" t="inlineStr">
        <is>
          <t>India</t>
        </is>
      </c>
      <c r="C53" s="5" t="inlineStr">
        <is>
          <t>Gujarat</t>
        </is>
      </c>
      <c r="D53" s="5" t="inlineStr">
        <is>
          <t>Rashtriya Raksha University</t>
        </is>
      </c>
      <c r="E53" t="inlineStr">
        <is>
          <t>INI</t>
        </is>
      </c>
      <c r="G53" t="n">
        <v>2025</v>
      </c>
      <c r="H53" t="inlineStr">
        <is>
          <t>No</t>
        </is>
      </c>
      <c r="I53" s="5" t="inlineStr">
        <is>
          <t>Gandhinagar</t>
        </is>
      </c>
      <c r="J53" t="inlineStr">
        <is>
          <t>A</t>
        </is>
      </c>
      <c r="K53" t="n">
        <v>100</v>
      </c>
      <c r="L53" t="inlineStr">
        <is>
          <t>India|Rashtriya Raksha University</t>
        </is>
      </c>
    </row>
    <row r="54">
      <c r="A54" s="5" t="inlineStr">
        <is>
          <t>Domestic</t>
        </is>
      </c>
      <c r="B54" s="5" t="inlineStr">
        <is>
          <t>India</t>
        </is>
      </c>
      <c r="C54" s="5" t="inlineStr">
        <is>
          <t>Gujarat</t>
        </is>
      </c>
      <c r="D54" s="5" t="inlineStr">
        <is>
          <t>Sardar Vallabhbhai National Institute of Technology Surat</t>
        </is>
      </c>
      <c r="E54" t="inlineStr">
        <is>
          <t>INI</t>
        </is>
      </c>
      <c r="G54" t="n">
        <v>2025</v>
      </c>
      <c r="H54" t="inlineStr">
        <is>
          <t>No</t>
        </is>
      </c>
      <c r="I54" s="5" t="inlineStr">
        <is>
          <t>Surat</t>
        </is>
      </c>
      <c r="J54" t="inlineStr">
        <is>
          <t>A</t>
        </is>
      </c>
      <c r="K54" t="n">
        <v>100</v>
      </c>
      <c r="L54" t="inlineStr">
        <is>
          <t>India|Sardar Vallabhbhai National Institute of Technology Surat</t>
        </is>
      </c>
    </row>
    <row r="55">
      <c r="A55" s="5" t="inlineStr">
        <is>
          <t>Domestic</t>
        </is>
      </c>
      <c r="B55" s="5" t="inlineStr">
        <is>
          <t>India</t>
        </is>
      </c>
      <c r="C55" s="5" t="inlineStr">
        <is>
          <t>Gujarat</t>
        </is>
      </c>
      <c r="D55" s="5" t="inlineStr">
        <is>
          <t>“Tribhuvan” Sahkari University</t>
        </is>
      </c>
      <c r="E55" t="inlineStr">
        <is>
          <t>INI</t>
        </is>
      </c>
      <c r="G55" t="n">
        <v>2025</v>
      </c>
      <c r="H55" t="inlineStr">
        <is>
          <t>No</t>
        </is>
      </c>
      <c r="I55" s="5" t="inlineStr">
        <is>
          <t>Anand</t>
        </is>
      </c>
      <c r="J55" t="inlineStr">
        <is>
          <t>A</t>
        </is>
      </c>
      <c r="K55" t="n">
        <v>100</v>
      </c>
      <c r="L55" t="inlineStr">
        <is>
          <t>India|“Tribhuvan” Sahkari University</t>
        </is>
      </c>
    </row>
    <row r="56">
      <c r="A56" s="5" t="inlineStr">
        <is>
          <t>Domestic</t>
        </is>
      </c>
      <c r="B56" s="5" t="inlineStr">
        <is>
          <t>India</t>
        </is>
      </c>
      <c r="C56" s="5" t="inlineStr">
        <is>
          <t>Haryana</t>
        </is>
      </c>
      <c r="D56" s="5" t="inlineStr">
        <is>
          <t>Indian Institute of Information Technology, Sonepat</t>
        </is>
      </c>
      <c r="E56" t="inlineStr">
        <is>
          <t>INI</t>
        </is>
      </c>
      <c r="G56" t="n">
        <v>2025</v>
      </c>
      <c r="H56" t="inlineStr">
        <is>
          <t>No</t>
        </is>
      </c>
      <c r="I56" s="5" t="inlineStr">
        <is>
          <t>Sonipat</t>
        </is>
      </c>
      <c r="J56" t="inlineStr">
        <is>
          <t>A</t>
        </is>
      </c>
      <c r="K56" t="n">
        <v>100</v>
      </c>
      <c r="L56" t="inlineStr">
        <is>
          <t>India|Indian Institute of Information Technology, Sonepat</t>
        </is>
      </c>
    </row>
    <row r="57">
      <c r="A57" s="5" t="inlineStr">
        <is>
          <t>Domestic</t>
        </is>
      </c>
      <c r="B57" s="5" t="inlineStr">
        <is>
          <t>India</t>
        </is>
      </c>
      <c r="C57" s="5" t="inlineStr">
        <is>
          <t>Haryana</t>
        </is>
      </c>
      <c r="D57" s="5" t="inlineStr">
        <is>
          <t>Indian Institute of Management Rohtak</t>
        </is>
      </c>
      <c r="E57" t="inlineStr">
        <is>
          <t>INI</t>
        </is>
      </c>
      <c r="G57" t="n">
        <v>2025</v>
      </c>
      <c r="H57" t="inlineStr">
        <is>
          <t>No</t>
        </is>
      </c>
      <c r="I57" s="5" t="inlineStr">
        <is>
          <t>Rohtak</t>
        </is>
      </c>
      <c r="J57" t="inlineStr">
        <is>
          <t>A</t>
        </is>
      </c>
      <c r="K57" t="n">
        <v>100</v>
      </c>
      <c r="L57" t="inlineStr">
        <is>
          <t>India|Indian Institute of Management Rohtak</t>
        </is>
      </c>
    </row>
    <row r="58">
      <c r="A58" s="5" t="inlineStr">
        <is>
          <t>Domestic</t>
        </is>
      </c>
      <c r="B58" s="5" t="inlineStr">
        <is>
          <t>India</t>
        </is>
      </c>
      <c r="C58" s="5" t="inlineStr">
        <is>
          <t>Haryana</t>
        </is>
      </c>
      <c r="D58" s="5" t="inlineStr">
        <is>
          <t>National Institute of Design, Haryana</t>
        </is>
      </c>
      <c r="E58" t="inlineStr">
        <is>
          <t>INI</t>
        </is>
      </c>
      <c r="G58" t="n">
        <v>2025</v>
      </c>
      <c r="H58" t="inlineStr">
        <is>
          <t>No</t>
        </is>
      </c>
      <c r="I58" s="5" t="inlineStr">
        <is>
          <t>Kurukshetra</t>
        </is>
      </c>
      <c r="J58" t="inlineStr">
        <is>
          <t>A</t>
        </is>
      </c>
      <c r="K58" t="n">
        <v>100</v>
      </c>
      <c r="L58" t="inlineStr">
        <is>
          <t>India|National Institute of Design, Haryana</t>
        </is>
      </c>
    </row>
    <row r="59">
      <c r="A59" s="5" t="inlineStr">
        <is>
          <t>Domestic</t>
        </is>
      </c>
      <c r="B59" s="5" t="inlineStr">
        <is>
          <t>India</t>
        </is>
      </c>
      <c r="C59" s="5" t="inlineStr">
        <is>
          <t>Haryana</t>
        </is>
      </c>
      <c r="D59" s="5" t="inlineStr">
        <is>
          <t>National Institute of Food Technology Entrepreneurship and Management, Kundli</t>
        </is>
      </c>
      <c r="E59" t="inlineStr">
        <is>
          <t>INI</t>
        </is>
      </c>
      <c r="G59" t="n">
        <v>2025</v>
      </c>
      <c r="H59" t="inlineStr">
        <is>
          <t>No</t>
        </is>
      </c>
      <c r="I59" s="5" t="inlineStr">
        <is>
          <t>Sonipat</t>
        </is>
      </c>
      <c r="J59" t="inlineStr">
        <is>
          <t>A</t>
        </is>
      </c>
      <c r="K59" t="n">
        <v>100</v>
      </c>
      <c r="L59" t="inlineStr">
        <is>
          <t>India|National Institute of Food Technology Entrepreneurship and Management, Kundli</t>
        </is>
      </c>
    </row>
    <row r="60">
      <c r="A60" s="5" t="inlineStr">
        <is>
          <t>Domestic</t>
        </is>
      </c>
      <c r="B60" s="5" t="inlineStr">
        <is>
          <t>India</t>
        </is>
      </c>
      <c r="C60" s="5" t="inlineStr">
        <is>
          <t>Haryana</t>
        </is>
      </c>
      <c r="D60" s="5" t="inlineStr">
        <is>
          <t>National Institute of Technology Kurukshetra</t>
        </is>
      </c>
      <c r="E60" t="inlineStr">
        <is>
          <t>INI</t>
        </is>
      </c>
      <c r="G60" t="n">
        <v>2025</v>
      </c>
      <c r="H60" t="inlineStr">
        <is>
          <t>No</t>
        </is>
      </c>
      <c r="I60" s="5" t="inlineStr">
        <is>
          <t>Kurukshetra</t>
        </is>
      </c>
      <c r="J60" t="inlineStr">
        <is>
          <t>A</t>
        </is>
      </c>
      <c r="K60" t="n">
        <v>100</v>
      </c>
      <c r="L60" t="inlineStr">
        <is>
          <t>India|National Institute of Technology Kurukshetra</t>
        </is>
      </c>
    </row>
    <row r="61">
      <c r="A61" s="5" t="inlineStr">
        <is>
          <t>Domestic</t>
        </is>
      </c>
      <c r="B61" s="5" t="inlineStr">
        <is>
          <t>India</t>
        </is>
      </c>
      <c r="C61" s="5" t="inlineStr">
        <is>
          <t>Haryana</t>
        </is>
      </c>
      <c r="D61" s="5" t="inlineStr">
        <is>
          <t>Regional Centre for Biotechnology</t>
        </is>
      </c>
      <c r="E61" t="inlineStr">
        <is>
          <t>INI</t>
        </is>
      </c>
      <c r="G61" t="n">
        <v>2025</v>
      </c>
      <c r="H61" t="inlineStr">
        <is>
          <t>No</t>
        </is>
      </c>
      <c r="I61" s="5" t="inlineStr">
        <is>
          <t>Faridabad</t>
        </is>
      </c>
      <c r="J61" t="inlineStr">
        <is>
          <t>A</t>
        </is>
      </c>
      <c r="K61" t="n">
        <v>100</v>
      </c>
      <c r="L61" t="inlineStr">
        <is>
          <t>India|Regional Centre for Biotechnology</t>
        </is>
      </c>
    </row>
    <row r="62">
      <c r="A62" s="5" t="inlineStr">
        <is>
          <t>Domestic</t>
        </is>
      </c>
      <c r="B62" s="5" t="inlineStr">
        <is>
          <t>India</t>
        </is>
      </c>
      <c r="C62" s="5" t="inlineStr">
        <is>
          <t>Himachal Pradesh</t>
        </is>
      </c>
      <c r="D62" s="5" t="inlineStr">
        <is>
          <t>All India Institute of Medical Sciences, Bilaspur</t>
        </is>
      </c>
      <c r="E62" t="inlineStr">
        <is>
          <t>INI</t>
        </is>
      </c>
      <c r="G62" t="n">
        <v>2025</v>
      </c>
      <c r="H62" t="inlineStr">
        <is>
          <t>No</t>
        </is>
      </c>
      <c r="I62" s="5" t="inlineStr">
        <is>
          <t>Bilaspur</t>
        </is>
      </c>
      <c r="J62" t="inlineStr">
        <is>
          <t>A</t>
        </is>
      </c>
      <c r="K62" t="n">
        <v>100</v>
      </c>
      <c r="L62" t="inlineStr">
        <is>
          <t>India|All India Institute of Medical Sciences, Bilaspur</t>
        </is>
      </c>
    </row>
    <row r="63">
      <c r="A63" s="5" t="inlineStr">
        <is>
          <t>Domestic</t>
        </is>
      </c>
      <c r="B63" s="5" t="inlineStr">
        <is>
          <t>India</t>
        </is>
      </c>
      <c r="C63" s="5" t="inlineStr">
        <is>
          <t>Himachal Pradesh</t>
        </is>
      </c>
      <c r="D63" s="5" t="inlineStr">
        <is>
          <t>Indian Institute of Information Technology, Una</t>
        </is>
      </c>
      <c r="E63" t="inlineStr">
        <is>
          <t>INI</t>
        </is>
      </c>
      <c r="G63" t="n">
        <v>2025</v>
      </c>
      <c r="H63" t="inlineStr">
        <is>
          <t>No</t>
        </is>
      </c>
      <c r="I63" s="5" t="inlineStr">
        <is>
          <t>Una</t>
        </is>
      </c>
      <c r="J63" t="inlineStr">
        <is>
          <t>A</t>
        </is>
      </c>
      <c r="K63" t="n">
        <v>100</v>
      </c>
      <c r="L63" t="inlineStr">
        <is>
          <t>India|Indian Institute of Information Technology, Una</t>
        </is>
      </c>
    </row>
    <row r="64">
      <c r="A64" s="5" t="inlineStr">
        <is>
          <t>Domestic</t>
        </is>
      </c>
      <c r="B64" s="5" t="inlineStr">
        <is>
          <t>India</t>
        </is>
      </c>
      <c r="C64" s="5" t="inlineStr">
        <is>
          <t>Himachal Pradesh</t>
        </is>
      </c>
      <c r="D64" s="5" t="inlineStr">
        <is>
          <t>Indian Institute of Management Sirmaur</t>
        </is>
      </c>
      <c r="E64" t="inlineStr">
        <is>
          <t>INI</t>
        </is>
      </c>
      <c r="G64" t="n">
        <v>2025</v>
      </c>
      <c r="H64" t="inlineStr">
        <is>
          <t>No</t>
        </is>
      </c>
      <c r="I64" s="5" t="inlineStr">
        <is>
          <t>Paonta Sahib</t>
        </is>
      </c>
      <c r="J64" t="inlineStr">
        <is>
          <t>A</t>
        </is>
      </c>
      <c r="K64" t="n">
        <v>100</v>
      </c>
      <c r="L64" t="inlineStr">
        <is>
          <t>India|Indian Institute of Management Sirmaur</t>
        </is>
      </c>
    </row>
    <row r="65">
      <c r="A65" s="5" t="inlineStr">
        <is>
          <t>Domestic</t>
        </is>
      </c>
      <c r="B65" s="5" t="inlineStr">
        <is>
          <t>India</t>
        </is>
      </c>
      <c r="C65" s="5" t="inlineStr">
        <is>
          <t>Himachal Pradesh</t>
        </is>
      </c>
      <c r="D65" s="5" t="inlineStr">
        <is>
          <t>Indian Institute of Technology Mandi</t>
        </is>
      </c>
      <c r="E65" t="inlineStr">
        <is>
          <t>INI</t>
        </is>
      </c>
      <c r="G65" t="n">
        <v>2025</v>
      </c>
      <c r="H65" t="inlineStr">
        <is>
          <t>No</t>
        </is>
      </c>
      <c r="I65" s="5" t="inlineStr">
        <is>
          <t>Mandi</t>
        </is>
      </c>
      <c r="J65" t="inlineStr">
        <is>
          <t>A</t>
        </is>
      </c>
      <c r="K65" t="n">
        <v>100</v>
      </c>
      <c r="L65" t="inlineStr">
        <is>
          <t>India|Indian Institute of Technology Mandi</t>
        </is>
      </c>
    </row>
    <row r="66">
      <c r="A66" s="5" t="inlineStr">
        <is>
          <t>Domestic</t>
        </is>
      </c>
      <c r="B66" s="5" t="inlineStr">
        <is>
          <t>India</t>
        </is>
      </c>
      <c r="C66" s="5" t="inlineStr">
        <is>
          <t>Himachal Pradesh</t>
        </is>
      </c>
      <c r="D66" s="5" t="inlineStr">
        <is>
          <t>National Institute of Technology Hamirpur</t>
        </is>
      </c>
      <c r="E66" t="inlineStr">
        <is>
          <t>INI</t>
        </is>
      </c>
      <c r="G66" t="n">
        <v>2025</v>
      </c>
      <c r="H66" t="inlineStr">
        <is>
          <t>No</t>
        </is>
      </c>
      <c r="I66" s="5" t="inlineStr">
        <is>
          <t>Hamirpur</t>
        </is>
      </c>
      <c r="J66" t="inlineStr">
        <is>
          <t>A</t>
        </is>
      </c>
      <c r="K66" t="n">
        <v>100</v>
      </c>
      <c r="L66" t="inlineStr">
        <is>
          <t>India|National Institute of Technology Hamirpur</t>
        </is>
      </c>
    </row>
    <row r="67">
      <c r="A67" s="5" t="inlineStr">
        <is>
          <t>Domestic</t>
        </is>
      </c>
      <c r="B67" s="5" t="inlineStr">
        <is>
          <t>India</t>
        </is>
      </c>
      <c r="C67" s="5" t="inlineStr">
        <is>
          <t>Jammu and Kashmir</t>
        </is>
      </c>
      <c r="D67" s="5" t="inlineStr">
        <is>
          <t>All India Institute of Medical Sciences, Jammu</t>
        </is>
      </c>
      <c r="E67" t="inlineStr">
        <is>
          <t>INI</t>
        </is>
      </c>
      <c r="G67" t="n">
        <v>2025</v>
      </c>
      <c r="H67" t="inlineStr">
        <is>
          <t>No</t>
        </is>
      </c>
      <c r="I67" s="5" t="inlineStr">
        <is>
          <t>Vijaypur</t>
        </is>
      </c>
      <c r="J67" t="inlineStr">
        <is>
          <t>A</t>
        </is>
      </c>
      <c r="K67" t="n">
        <v>100</v>
      </c>
      <c r="L67" t="inlineStr">
        <is>
          <t>India|All India Institute of Medical Sciences, Jammu</t>
        </is>
      </c>
    </row>
    <row r="68">
      <c r="A68" s="5" t="inlineStr">
        <is>
          <t>Domestic</t>
        </is>
      </c>
      <c r="B68" s="5" t="inlineStr">
        <is>
          <t>India</t>
        </is>
      </c>
      <c r="C68" s="5" t="inlineStr">
        <is>
          <t>Jammu and Kashmir</t>
        </is>
      </c>
      <c r="D68" s="5" t="inlineStr">
        <is>
          <t>Indian Institute of Management Jammu</t>
        </is>
      </c>
      <c r="E68" t="inlineStr">
        <is>
          <t>INI</t>
        </is>
      </c>
      <c r="G68" t="n">
        <v>2025</v>
      </c>
      <c r="H68" t="inlineStr">
        <is>
          <t>No</t>
        </is>
      </c>
      <c r="I68" s="5" t="inlineStr">
        <is>
          <t>Jammu</t>
        </is>
      </c>
      <c r="J68" t="inlineStr">
        <is>
          <t>A</t>
        </is>
      </c>
      <c r="K68" t="n">
        <v>100</v>
      </c>
      <c r="L68" t="inlineStr">
        <is>
          <t>India|Indian Institute of Management Jammu</t>
        </is>
      </c>
    </row>
    <row r="69">
      <c r="A69" s="5" t="inlineStr">
        <is>
          <t>Domestic</t>
        </is>
      </c>
      <c r="B69" s="5" t="inlineStr">
        <is>
          <t>India</t>
        </is>
      </c>
      <c r="C69" s="5" t="inlineStr">
        <is>
          <t>Jammu and Kashmir</t>
        </is>
      </c>
      <c r="D69" s="5" t="inlineStr">
        <is>
          <t>Indian Institute of Technology Jammu</t>
        </is>
      </c>
      <c r="E69" t="inlineStr">
        <is>
          <t>INI</t>
        </is>
      </c>
      <c r="G69" t="n">
        <v>2025</v>
      </c>
      <c r="H69" t="inlineStr">
        <is>
          <t>No</t>
        </is>
      </c>
      <c r="I69" s="5" t="inlineStr">
        <is>
          <t>Jammu</t>
        </is>
      </c>
      <c r="J69" t="inlineStr">
        <is>
          <t>A</t>
        </is>
      </c>
      <c r="K69" t="n">
        <v>100</v>
      </c>
      <c r="L69" t="inlineStr">
        <is>
          <t>India|Indian Institute of Technology Jammu</t>
        </is>
      </c>
    </row>
    <row r="70">
      <c r="A70" s="5" t="inlineStr">
        <is>
          <t>Domestic</t>
        </is>
      </c>
      <c r="B70" s="5" t="inlineStr">
        <is>
          <t>India</t>
        </is>
      </c>
      <c r="C70" s="5" t="inlineStr">
        <is>
          <t>Jammu and Kashmir</t>
        </is>
      </c>
      <c r="D70" s="5" t="inlineStr">
        <is>
          <t>National Institute of Technology Srinagar</t>
        </is>
      </c>
      <c r="E70" t="inlineStr">
        <is>
          <t>INI</t>
        </is>
      </c>
      <c r="G70" t="n">
        <v>2025</v>
      </c>
      <c r="H70" t="inlineStr">
        <is>
          <t>No</t>
        </is>
      </c>
      <c r="I70" s="5" t="inlineStr">
        <is>
          <t>Srinagar</t>
        </is>
      </c>
      <c r="J70" t="inlineStr">
        <is>
          <t>A</t>
        </is>
      </c>
      <c r="K70" t="n">
        <v>100</v>
      </c>
      <c r="L70" t="inlineStr">
        <is>
          <t>India|National Institute of Technology Srinagar</t>
        </is>
      </c>
    </row>
    <row r="71">
      <c r="A71" s="5" t="inlineStr">
        <is>
          <t>Domestic</t>
        </is>
      </c>
      <c r="B71" s="5" t="inlineStr">
        <is>
          <t>India</t>
        </is>
      </c>
      <c r="C71" s="5" t="inlineStr">
        <is>
          <t>Jharkhand</t>
        </is>
      </c>
      <c r="D71" s="5" t="inlineStr">
        <is>
          <t>All India Institute of Medical Sciences, Deoghar</t>
        </is>
      </c>
      <c r="E71" t="inlineStr">
        <is>
          <t>INI</t>
        </is>
      </c>
      <c r="G71" t="n">
        <v>2025</v>
      </c>
      <c r="H71" t="inlineStr">
        <is>
          <t>No</t>
        </is>
      </c>
      <c r="I71" s="5" t="inlineStr">
        <is>
          <t>Deoghar</t>
        </is>
      </c>
      <c r="J71" t="inlineStr">
        <is>
          <t>A</t>
        </is>
      </c>
      <c r="K71" t="n">
        <v>100</v>
      </c>
      <c r="L71" t="inlineStr">
        <is>
          <t>India|All India Institute of Medical Sciences, Deoghar</t>
        </is>
      </c>
    </row>
    <row r="72">
      <c r="A72" s="5" t="inlineStr">
        <is>
          <t>Domestic</t>
        </is>
      </c>
      <c r="B72" s="5" t="inlineStr">
        <is>
          <t>India</t>
        </is>
      </c>
      <c r="C72" s="5" t="inlineStr">
        <is>
          <t>Jharkhand</t>
        </is>
      </c>
      <c r="D72" s="5" t="inlineStr">
        <is>
          <t>Indian Institute of Information Technology, Ranchi</t>
        </is>
      </c>
      <c r="E72" t="inlineStr">
        <is>
          <t>INI</t>
        </is>
      </c>
      <c r="G72" t="n">
        <v>2025</v>
      </c>
      <c r="H72" t="inlineStr">
        <is>
          <t>No</t>
        </is>
      </c>
      <c r="I72" s="5" t="inlineStr">
        <is>
          <t>Ranchi</t>
        </is>
      </c>
      <c r="J72" t="inlineStr">
        <is>
          <t>A</t>
        </is>
      </c>
      <c r="K72" t="n">
        <v>100</v>
      </c>
      <c r="L72" t="inlineStr">
        <is>
          <t>India|Indian Institute of Information Technology, Ranchi</t>
        </is>
      </c>
    </row>
    <row r="73">
      <c r="A73" s="5" t="inlineStr">
        <is>
          <t>Domestic</t>
        </is>
      </c>
      <c r="B73" s="5" t="inlineStr">
        <is>
          <t>India</t>
        </is>
      </c>
      <c r="C73" s="5" t="inlineStr">
        <is>
          <t>Jharkhand</t>
        </is>
      </c>
      <c r="D73" s="5" t="inlineStr">
        <is>
          <t>Indian Institute of Management Ranchi</t>
        </is>
      </c>
      <c r="E73" t="inlineStr">
        <is>
          <t>INI</t>
        </is>
      </c>
      <c r="G73" t="n">
        <v>2025</v>
      </c>
      <c r="H73" t="inlineStr">
        <is>
          <t>No</t>
        </is>
      </c>
      <c r="I73" s="5" t="inlineStr">
        <is>
          <t>Ranchi</t>
        </is>
      </c>
      <c r="J73" t="inlineStr">
        <is>
          <t>A</t>
        </is>
      </c>
      <c r="K73" t="n">
        <v>100</v>
      </c>
      <c r="L73" t="inlineStr">
        <is>
          <t>India|Indian Institute of Management Ranchi</t>
        </is>
      </c>
    </row>
    <row r="74">
      <c r="A74" s="5" t="inlineStr">
        <is>
          <t>Domestic</t>
        </is>
      </c>
      <c r="B74" s="5" t="inlineStr">
        <is>
          <t>India</t>
        </is>
      </c>
      <c r="C74" s="5" t="inlineStr">
        <is>
          <t>Jharkhand</t>
        </is>
      </c>
      <c r="D74" s="5" t="inlineStr">
        <is>
          <t>Indian Institute of Technology (ISM) Dhanbad</t>
        </is>
      </c>
      <c r="E74" t="inlineStr">
        <is>
          <t>INI</t>
        </is>
      </c>
      <c r="F74" t="n">
        <v>35</v>
      </c>
      <c r="G74" t="n">
        <v>2025</v>
      </c>
      <c r="H74" t="inlineStr">
        <is>
          <t>No</t>
        </is>
      </c>
      <c r="I74" s="5" t="inlineStr">
        <is>
          <t>Dhanbad</t>
        </is>
      </c>
      <c r="J74" t="inlineStr">
        <is>
          <t>A</t>
        </is>
      </c>
      <c r="K74" t="n">
        <v>100</v>
      </c>
      <c r="L74" t="inlineStr">
        <is>
          <t>India|Indian Institute of Technology (ISM) Dhanbad</t>
        </is>
      </c>
    </row>
    <row r="75">
      <c r="A75" s="5" t="inlineStr">
        <is>
          <t>Domestic</t>
        </is>
      </c>
      <c r="B75" s="5" t="inlineStr">
        <is>
          <t>India</t>
        </is>
      </c>
      <c r="C75" s="5" t="inlineStr">
        <is>
          <t>Jharkhand</t>
        </is>
      </c>
      <c r="D75" s="5" t="inlineStr">
        <is>
          <t>National Institute of Technology Jamshedpur</t>
        </is>
      </c>
      <c r="E75" t="inlineStr">
        <is>
          <t>INI</t>
        </is>
      </c>
      <c r="G75" t="n">
        <v>2025</v>
      </c>
      <c r="H75" t="inlineStr">
        <is>
          <t>No</t>
        </is>
      </c>
      <c r="I75" s="5" t="inlineStr">
        <is>
          <t>Jamshedpur</t>
        </is>
      </c>
      <c r="J75" t="inlineStr">
        <is>
          <t>A</t>
        </is>
      </c>
      <c r="K75" t="n">
        <v>100</v>
      </c>
      <c r="L75" t="inlineStr">
        <is>
          <t>India|National Institute of Technology Jamshedpur</t>
        </is>
      </c>
    </row>
    <row r="76">
      <c r="A76" s="5" t="inlineStr">
        <is>
          <t>Domestic</t>
        </is>
      </c>
      <c r="B76" s="5" t="inlineStr">
        <is>
          <t>India</t>
        </is>
      </c>
      <c r="C76" s="5" t="inlineStr">
        <is>
          <t>Karnataka</t>
        </is>
      </c>
      <c r="D76" s="5" t="inlineStr">
        <is>
          <t>Indian Institute of Information Technology, Dharwad</t>
        </is>
      </c>
      <c r="E76" t="inlineStr">
        <is>
          <t>INI</t>
        </is>
      </c>
      <c r="G76" t="n">
        <v>2025</v>
      </c>
      <c r="H76" t="inlineStr">
        <is>
          <t>No</t>
        </is>
      </c>
      <c r="I76" s="5" t="inlineStr">
        <is>
          <t>Dharwad</t>
        </is>
      </c>
      <c r="J76" t="inlineStr">
        <is>
          <t>A</t>
        </is>
      </c>
      <c r="K76" t="n">
        <v>100</v>
      </c>
      <c r="L76" t="inlineStr">
        <is>
          <t>India|Indian Institute of Information Technology, Dharwad</t>
        </is>
      </c>
    </row>
    <row r="77">
      <c r="A77" s="5" t="inlineStr">
        <is>
          <t>Domestic</t>
        </is>
      </c>
      <c r="B77" s="5" t="inlineStr">
        <is>
          <t>India</t>
        </is>
      </c>
      <c r="C77" s="5" t="inlineStr">
        <is>
          <t>Karnataka</t>
        </is>
      </c>
      <c r="D77" s="5" t="inlineStr">
        <is>
          <t>Indian Institute of Information Technology, Raichur</t>
        </is>
      </c>
      <c r="E77" t="inlineStr">
        <is>
          <t>INI</t>
        </is>
      </c>
      <c r="G77" t="n">
        <v>2025</v>
      </c>
      <c r="H77" t="inlineStr">
        <is>
          <t>No</t>
        </is>
      </c>
      <c r="I77" s="5" t="inlineStr">
        <is>
          <t>Raichur</t>
        </is>
      </c>
      <c r="J77" t="inlineStr">
        <is>
          <t>A</t>
        </is>
      </c>
      <c r="K77" t="n">
        <v>100</v>
      </c>
      <c r="L77" t="inlineStr">
        <is>
          <t>India|Indian Institute of Information Technology, Raichur</t>
        </is>
      </c>
    </row>
    <row r="78">
      <c r="A78" s="5" t="inlineStr">
        <is>
          <t>Domestic</t>
        </is>
      </c>
      <c r="B78" s="5" t="inlineStr">
        <is>
          <t>India</t>
        </is>
      </c>
      <c r="C78" s="5" t="inlineStr">
        <is>
          <t>Karnataka</t>
        </is>
      </c>
      <c r="D78" s="5" t="inlineStr">
        <is>
          <t>Indian Institute of Management Bangalore</t>
        </is>
      </c>
      <c r="E78" t="inlineStr">
        <is>
          <t>INI</t>
        </is>
      </c>
      <c r="G78" t="n">
        <v>2025</v>
      </c>
      <c r="H78" t="inlineStr">
        <is>
          <t>No</t>
        </is>
      </c>
      <c r="I78" s="5" t="inlineStr">
        <is>
          <t>Bengaluru</t>
        </is>
      </c>
      <c r="J78" t="inlineStr">
        <is>
          <t>A</t>
        </is>
      </c>
      <c r="K78" t="n">
        <v>100</v>
      </c>
      <c r="L78" t="inlineStr">
        <is>
          <t>India|Indian Institute of Management Bangalore</t>
        </is>
      </c>
    </row>
    <row r="79">
      <c r="A79" s="5" t="inlineStr">
        <is>
          <t>Domestic</t>
        </is>
      </c>
      <c r="B79" s="5" t="inlineStr">
        <is>
          <t>India</t>
        </is>
      </c>
      <c r="C79" s="5" t="inlineStr">
        <is>
          <t>Karnataka</t>
        </is>
      </c>
      <c r="D79" s="5" t="inlineStr">
        <is>
          <t>Indian Institute of Science</t>
        </is>
      </c>
      <c r="E79" t="inlineStr">
        <is>
          <t>Public IoE</t>
        </is>
      </c>
      <c r="F79" t="n">
        <v>2</v>
      </c>
      <c r="G79" t="n">
        <v>2025</v>
      </c>
      <c r="H79" t="inlineStr">
        <is>
          <t>No</t>
        </is>
      </c>
      <c r="I79" s="5" t="inlineStr">
        <is>
          <t>Bengaluru</t>
        </is>
      </c>
      <c r="J79" t="inlineStr">
        <is>
          <t>B</t>
        </is>
      </c>
      <c r="K79" t="n">
        <v>100</v>
      </c>
      <c r="L79" t="inlineStr">
        <is>
          <t>India|Indian Institute of Science</t>
        </is>
      </c>
    </row>
    <row r="80">
      <c r="A80" s="5" t="inlineStr">
        <is>
          <t>Domestic</t>
        </is>
      </c>
      <c r="B80" s="5" t="inlineStr">
        <is>
          <t>India</t>
        </is>
      </c>
      <c r="C80" s="5" t="inlineStr">
        <is>
          <t>Karnataka</t>
        </is>
      </c>
      <c r="D80" s="5" t="inlineStr">
        <is>
          <t>Indian Institute of Technology Dharwad</t>
        </is>
      </c>
      <c r="E80" t="inlineStr">
        <is>
          <t>INI</t>
        </is>
      </c>
      <c r="G80" t="n">
        <v>2025</v>
      </c>
      <c r="H80" t="inlineStr">
        <is>
          <t>No</t>
        </is>
      </c>
      <c r="I80" s="5" t="inlineStr">
        <is>
          <t>Dharwad</t>
        </is>
      </c>
      <c r="J80" t="inlineStr">
        <is>
          <t>A</t>
        </is>
      </c>
      <c r="K80" t="n">
        <v>100</v>
      </c>
      <c r="L80" t="inlineStr">
        <is>
          <t>India|Indian Institute of Technology Dharwad</t>
        </is>
      </c>
    </row>
    <row r="81">
      <c r="A81" s="5" t="inlineStr">
        <is>
          <t>Domestic</t>
        </is>
      </c>
      <c r="B81" s="5" t="inlineStr">
        <is>
          <t>India</t>
        </is>
      </c>
      <c r="C81" s="5" t="inlineStr">
        <is>
          <t>Karnataka</t>
        </is>
      </c>
      <c r="D81" s="5" t="inlineStr">
        <is>
          <t>National Institute of Mental Health and Neurosciences</t>
        </is>
      </c>
      <c r="E81" t="inlineStr">
        <is>
          <t>INI</t>
        </is>
      </c>
      <c r="G81" t="n">
        <v>2025</v>
      </c>
      <c r="H81" t="inlineStr">
        <is>
          <t>No</t>
        </is>
      </c>
      <c r="I81" s="5" t="inlineStr">
        <is>
          <t>Bengaluru</t>
        </is>
      </c>
      <c r="J81" t="inlineStr">
        <is>
          <t>A</t>
        </is>
      </c>
      <c r="K81" t="n">
        <v>100</v>
      </c>
      <c r="L81" t="inlineStr">
        <is>
          <t>India|National Institute of Mental Health and Neurosciences</t>
        </is>
      </c>
    </row>
    <row r="82">
      <c r="A82" s="5" t="inlineStr">
        <is>
          <t>Domestic</t>
        </is>
      </c>
      <c r="B82" s="5" t="inlineStr">
        <is>
          <t>India</t>
        </is>
      </c>
      <c r="C82" s="5" t="inlineStr">
        <is>
          <t>Karnataka</t>
        </is>
      </c>
      <c r="D82" s="5" t="inlineStr">
        <is>
          <t>National Institute of Technology Karnataka, Surathkal</t>
        </is>
      </c>
      <c r="E82" t="inlineStr">
        <is>
          <t>INI</t>
        </is>
      </c>
      <c r="G82" t="n">
        <v>2025</v>
      </c>
      <c r="H82" t="inlineStr">
        <is>
          <t>No</t>
        </is>
      </c>
      <c r="I82" s="5" t="inlineStr">
        <is>
          <t>Surathkal</t>
        </is>
      </c>
      <c r="J82" t="inlineStr">
        <is>
          <t>A</t>
        </is>
      </c>
      <c r="K82" t="n">
        <v>100</v>
      </c>
      <c r="L82" t="inlineStr">
        <is>
          <t>India|National Institute of Technology Karnataka, Surathkal</t>
        </is>
      </c>
    </row>
    <row r="83">
      <c r="A83" s="5" t="inlineStr">
        <is>
          <t>Domestic</t>
        </is>
      </c>
      <c r="B83" s="5" t="inlineStr">
        <is>
          <t>India</t>
        </is>
      </c>
      <c r="C83" s="5" t="inlineStr">
        <is>
          <t>Kerala</t>
        </is>
      </c>
      <c r="D83" s="5" t="inlineStr">
        <is>
          <t>Cochin University of Science and Technology</t>
        </is>
      </c>
      <c r="E83" t="inlineStr">
        <is>
          <t>NIRF Top 50</t>
        </is>
      </c>
      <c r="F83" t="n">
        <v>50</v>
      </c>
      <c r="G83" t="n">
        <v>2025</v>
      </c>
      <c r="H83" t="inlineStr">
        <is>
          <t>No</t>
        </is>
      </c>
      <c r="I83" s="5" t="inlineStr">
        <is>
          <t>Kochi</t>
        </is>
      </c>
      <c r="J83" t="inlineStr">
        <is>
          <t>C</t>
        </is>
      </c>
      <c r="K83" t="n">
        <v>75</v>
      </c>
      <c r="L83" t="inlineStr">
        <is>
          <t>India|Cochin University of Science and Technology</t>
        </is>
      </c>
    </row>
    <row r="84">
      <c r="A84" s="5" t="inlineStr">
        <is>
          <t>Domestic</t>
        </is>
      </c>
      <c r="B84" s="5" t="inlineStr">
        <is>
          <t>India</t>
        </is>
      </c>
      <c r="C84" s="5" t="inlineStr">
        <is>
          <t>Kerala</t>
        </is>
      </c>
      <c r="D84" s="5" t="inlineStr">
        <is>
          <t>Indian Institute of Information Technology, Kottayam</t>
        </is>
      </c>
      <c r="E84" t="inlineStr">
        <is>
          <t>INI</t>
        </is>
      </c>
      <c r="G84" t="n">
        <v>2025</v>
      </c>
      <c r="H84" t="inlineStr">
        <is>
          <t>No</t>
        </is>
      </c>
      <c r="I84" s="5" t="inlineStr">
        <is>
          <t>Kottayam</t>
        </is>
      </c>
      <c r="J84" t="inlineStr">
        <is>
          <t>A</t>
        </is>
      </c>
      <c r="K84" t="n">
        <v>100</v>
      </c>
      <c r="L84" t="inlineStr">
        <is>
          <t>India|Indian Institute of Information Technology, Kottayam</t>
        </is>
      </c>
    </row>
    <row r="85">
      <c r="A85" s="5" t="inlineStr">
        <is>
          <t>Domestic</t>
        </is>
      </c>
      <c r="B85" s="5" t="inlineStr">
        <is>
          <t>India</t>
        </is>
      </c>
      <c r="C85" s="5" t="inlineStr">
        <is>
          <t>Kerala</t>
        </is>
      </c>
      <c r="D85" s="5" t="inlineStr">
        <is>
          <t>Indian Institute of Management Kozhikode</t>
        </is>
      </c>
      <c r="E85" t="inlineStr">
        <is>
          <t>INI</t>
        </is>
      </c>
      <c r="G85" t="n">
        <v>2025</v>
      </c>
      <c r="H85" t="inlineStr">
        <is>
          <t>No</t>
        </is>
      </c>
      <c r="I85" s="5" t="inlineStr">
        <is>
          <t>Kozhikode</t>
        </is>
      </c>
      <c r="J85" t="inlineStr">
        <is>
          <t>A</t>
        </is>
      </c>
      <c r="K85" t="n">
        <v>100</v>
      </c>
      <c r="L85" t="inlineStr">
        <is>
          <t>India|Indian Institute of Management Kozhikode</t>
        </is>
      </c>
    </row>
    <row r="86">
      <c r="A86" s="5" t="inlineStr">
        <is>
          <t>Domestic</t>
        </is>
      </c>
      <c r="B86" s="5" t="inlineStr">
        <is>
          <t>India</t>
        </is>
      </c>
      <c r="C86" s="5" t="inlineStr">
        <is>
          <t>Kerala</t>
        </is>
      </c>
      <c r="D86" s="5" t="inlineStr">
        <is>
          <t>Indian Institute of Science Education and Research Thiruvananthapuram</t>
        </is>
      </c>
      <c r="E86" t="inlineStr">
        <is>
          <t>INI</t>
        </is>
      </c>
      <c r="G86" t="n">
        <v>2025</v>
      </c>
      <c r="H86" t="inlineStr">
        <is>
          <t>No</t>
        </is>
      </c>
      <c r="I86" s="5" t="inlineStr">
        <is>
          <t>Thiruvananthapuram</t>
        </is>
      </c>
      <c r="J86" t="inlineStr">
        <is>
          <t>A</t>
        </is>
      </c>
      <c r="K86" t="n">
        <v>100</v>
      </c>
      <c r="L86" t="inlineStr">
        <is>
          <t>India|Indian Institute of Science Education and Research Thiruvananthapuram</t>
        </is>
      </c>
    </row>
    <row r="87">
      <c r="A87" s="5" t="inlineStr">
        <is>
          <t>Domestic</t>
        </is>
      </c>
      <c r="B87" s="5" t="inlineStr">
        <is>
          <t>India</t>
        </is>
      </c>
      <c r="C87" s="5" t="inlineStr">
        <is>
          <t>Kerala</t>
        </is>
      </c>
      <c r="D87" s="5" t="inlineStr">
        <is>
          <t>Indian Institute of Technology Palakkad</t>
        </is>
      </c>
      <c r="E87" t="inlineStr">
        <is>
          <t>INI</t>
        </is>
      </c>
      <c r="G87" t="n">
        <v>2025</v>
      </c>
      <c r="H87" t="inlineStr">
        <is>
          <t>No</t>
        </is>
      </c>
      <c r="I87" s="5" t="inlineStr">
        <is>
          <t>Palakkad</t>
        </is>
      </c>
      <c r="J87" t="inlineStr">
        <is>
          <t>A</t>
        </is>
      </c>
      <c r="K87" t="n">
        <v>100</v>
      </c>
      <c r="L87" t="inlineStr">
        <is>
          <t>India|Indian Institute of Technology Palakkad</t>
        </is>
      </c>
    </row>
    <row r="88">
      <c r="A88" s="5" t="inlineStr">
        <is>
          <t>Domestic</t>
        </is>
      </c>
      <c r="B88" s="5" t="inlineStr">
        <is>
          <t>India</t>
        </is>
      </c>
      <c r="C88" s="5" t="inlineStr">
        <is>
          <t>Kerala</t>
        </is>
      </c>
      <c r="D88" s="5" t="inlineStr">
        <is>
          <t>National Institute of Technology Calicut</t>
        </is>
      </c>
      <c r="E88" t="inlineStr">
        <is>
          <t>INI</t>
        </is>
      </c>
      <c r="F88" t="n">
        <v>45</v>
      </c>
      <c r="G88" t="n">
        <v>2025</v>
      </c>
      <c r="H88" t="inlineStr">
        <is>
          <t>No</t>
        </is>
      </c>
      <c r="I88" s="5" t="inlineStr">
        <is>
          <t>Kozhikode</t>
        </is>
      </c>
      <c r="J88" t="inlineStr">
        <is>
          <t>A</t>
        </is>
      </c>
      <c r="K88" t="n">
        <v>100</v>
      </c>
      <c r="L88" t="inlineStr">
        <is>
          <t>India|National Institute of Technology Calicut</t>
        </is>
      </c>
    </row>
    <row r="89">
      <c r="A89" s="5" t="inlineStr">
        <is>
          <t>Domestic</t>
        </is>
      </c>
      <c r="B89" s="5" t="inlineStr">
        <is>
          <t>India</t>
        </is>
      </c>
      <c r="C89" s="5" t="inlineStr">
        <is>
          <t>Kerala</t>
        </is>
      </c>
      <c r="D89" s="5" t="inlineStr">
        <is>
          <t>Sree Chitra Tirunal Institute for Medical Sciences and Technology</t>
        </is>
      </c>
      <c r="E89" t="inlineStr">
        <is>
          <t>INI</t>
        </is>
      </c>
      <c r="G89" t="n">
        <v>2025</v>
      </c>
      <c r="H89" t="inlineStr">
        <is>
          <t>No</t>
        </is>
      </c>
      <c r="I89" s="5" t="inlineStr">
        <is>
          <t>Thiruvananthapuram</t>
        </is>
      </c>
      <c r="J89" t="inlineStr">
        <is>
          <t>A</t>
        </is>
      </c>
      <c r="K89" t="n">
        <v>100</v>
      </c>
      <c r="L89" t="inlineStr">
        <is>
          <t>India|Sree Chitra Tirunal Institute for Medical Sciences and Technology</t>
        </is>
      </c>
    </row>
    <row r="90">
      <c r="A90" s="5" t="inlineStr">
        <is>
          <t>Domestic</t>
        </is>
      </c>
      <c r="B90" s="5" t="inlineStr">
        <is>
          <t>India</t>
        </is>
      </c>
      <c r="C90" s="5" t="inlineStr">
        <is>
          <t>Kerala</t>
        </is>
      </c>
      <c r="D90" s="5" t="inlineStr">
        <is>
          <t>University of Kerala</t>
        </is>
      </c>
      <c r="E90" t="inlineStr">
        <is>
          <t>NIRF Top 50</t>
        </is>
      </c>
      <c r="F90" t="n">
        <v>42</v>
      </c>
      <c r="G90" t="n">
        <v>2025</v>
      </c>
      <c r="H90" t="inlineStr">
        <is>
          <t>No</t>
        </is>
      </c>
      <c r="I90" s="5" t="inlineStr">
        <is>
          <t>Thiruvananthapuram</t>
        </is>
      </c>
      <c r="J90" t="inlineStr">
        <is>
          <t>C</t>
        </is>
      </c>
      <c r="K90" t="n">
        <v>75</v>
      </c>
      <c r="L90" t="inlineStr">
        <is>
          <t>India|University of Kerala</t>
        </is>
      </c>
    </row>
    <row r="91">
      <c r="A91" s="5" t="inlineStr">
        <is>
          <t>Domestic</t>
        </is>
      </c>
      <c r="B91" s="5" t="inlineStr">
        <is>
          <t>India</t>
        </is>
      </c>
      <c r="C91" s="5" t="inlineStr">
        <is>
          <t>Madhya Pradesh</t>
        </is>
      </c>
      <c r="D91" s="5" t="inlineStr">
        <is>
          <t>All India Institute of Medical Sciences, Bhopal</t>
        </is>
      </c>
      <c r="E91" t="inlineStr">
        <is>
          <t>INI</t>
        </is>
      </c>
      <c r="G91" t="n">
        <v>2025</v>
      </c>
      <c r="H91" t="inlineStr">
        <is>
          <t>No</t>
        </is>
      </c>
      <c r="I91" s="5" t="inlineStr">
        <is>
          <t>Bhopal</t>
        </is>
      </c>
      <c r="J91" t="inlineStr">
        <is>
          <t>A</t>
        </is>
      </c>
      <c r="K91" t="n">
        <v>100</v>
      </c>
      <c r="L91" t="inlineStr">
        <is>
          <t>India|All India Institute of Medical Sciences, Bhopal</t>
        </is>
      </c>
    </row>
    <row r="92">
      <c r="A92" s="5" t="inlineStr">
        <is>
          <t>Domestic</t>
        </is>
      </c>
      <c r="B92" s="5" t="inlineStr">
        <is>
          <t>India</t>
        </is>
      </c>
      <c r="C92" s="5" t="inlineStr">
        <is>
          <t>Madhya Pradesh</t>
        </is>
      </c>
      <c r="D92" s="5" t="inlineStr">
        <is>
          <t>Atal Bihari Vajpayee Indian Institute of Information Technology and Management, Gwalior</t>
        </is>
      </c>
      <c r="E92" t="inlineStr">
        <is>
          <t>INI</t>
        </is>
      </c>
      <c r="G92" t="n">
        <v>2025</v>
      </c>
      <c r="H92" t="inlineStr">
        <is>
          <t>No</t>
        </is>
      </c>
      <c r="I92" s="5" t="inlineStr">
        <is>
          <t>Gwalior</t>
        </is>
      </c>
      <c r="J92" t="inlineStr">
        <is>
          <t>A</t>
        </is>
      </c>
      <c r="K92" t="n">
        <v>100</v>
      </c>
      <c r="L92" t="inlineStr">
        <is>
          <t>India|Atal Bihari Vajpayee Indian Institute of Information Technology and Management, Gwalior</t>
        </is>
      </c>
    </row>
    <row r="93">
      <c r="A93" s="5" t="inlineStr">
        <is>
          <t>Domestic</t>
        </is>
      </c>
      <c r="B93" s="5" t="inlineStr">
        <is>
          <t>India</t>
        </is>
      </c>
      <c r="C93" s="5" t="inlineStr">
        <is>
          <t>Madhya Pradesh</t>
        </is>
      </c>
      <c r="D93" s="5" t="inlineStr">
        <is>
          <t>Indian Institute of Information Technology, Bhopal</t>
        </is>
      </c>
      <c r="E93" t="inlineStr">
        <is>
          <t>INI</t>
        </is>
      </c>
      <c r="G93" t="n">
        <v>2025</v>
      </c>
      <c r="H93" t="inlineStr">
        <is>
          <t>No</t>
        </is>
      </c>
      <c r="I93" s="5" t="inlineStr">
        <is>
          <t>Bhopal</t>
        </is>
      </c>
      <c r="J93" t="inlineStr">
        <is>
          <t>A</t>
        </is>
      </c>
      <c r="K93" t="n">
        <v>100</v>
      </c>
      <c r="L93" t="inlineStr">
        <is>
          <t>India|Indian Institute of Information Technology, Bhopal</t>
        </is>
      </c>
    </row>
    <row r="94">
      <c r="A94" s="5" t="inlineStr">
        <is>
          <t>Domestic</t>
        </is>
      </c>
      <c r="B94" s="5" t="inlineStr">
        <is>
          <t>India</t>
        </is>
      </c>
      <c r="C94" s="5" t="inlineStr">
        <is>
          <t>Madhya Pradesh</t>
        </is>
      </c>
      <c r="D94" s="5" t="inlineStr">
        <is>
          <t>Indian Institute of Management Indore</t>
        </is>
      </c>
      <c r="E94" t="inlineStr">
        <is>
          <t>INI</t>
        </is>
      </c>
      <c r="G94" t="n">
        <v>2025</v>
      </c>
      <c r="H94" t="inlineStr">
        <is>
          <t>No</t>
        </is>
      </c>
      <c r="I94" s="5" t="inlineStr">
        <is>
          <t>Indore</t>
        </is>
      </c>
      <c r="J94" t="inlineStr">
        <is>
          <t>A</t>
        </is>
      </c>
      <c r="K94" t="n">
        <v>100</v>
      </c>
      <c r="L94" t="inlineStr">
        <is>
          <t>India|Indian Institute of Management Indore</t>
        </is>
      </c>
    </row>
    <row r="95">
      <c r="A95" s="5" t="inlineStr">
        <is>
          <t>Domestic</t>
        </is>
      </c>
      <c r="B95" s="5" t="inlineStr">
        <is>
          <t>India</t>
        </is>
      </c>
      <c r="C95" s="5" t="inlineStr">
        <is>
          <t>Madhya Pradesh</t>
        </is>
      </c>
      <c r="D95" s="5" t="inlineStr">
        <is>
          <t>Indian Institute of Science Education and Research Bhopal</t>
        </is>
      </c>
      <c r="E95" t="inlineStr">
        <is>
          <t>INI</t>
        </is>
      </c>
      <c r="G95" t="n">
        <v>2025</v>
      </c>
      <c r="H95" t="inlineStr">
        <is>
          <t>No</t>
        </is>
      </c>
      <c r="I95" s="5" t="inlineStr">
        <is>
          <t>Bhopal</t>
        </is>
      </c>
      <c r="J95" t="inlineStr">
        <is>
          <t>A</t>
        </is>
      </c>
      <c r="K95" t="n">
        <v>100</v>
      </c>
      <c r="L95" t="inlineStr">
        <is>
          <t>India|Indian Institute of Science Education and Research Bhopal</t>
        </is>
      </c>
    </row>
    <row r="96">
      <c r="A96" s="5" t="inlineStr">
        <is>
          <t>Domestic</t>
        </is>
      </c>
      <c r="B96" s="5" t="inlineStr">
        <is>
          <t>India</t>
        </is>
      </c>
      <c r="C96" s="5" t="inlineStr">
        <is>
          <t>Madhya Pradesh</t>
        </is>
      </c>
      <c r="D96" s="5" t="inlineStr">
        <is>
          <t>Indian Institute of Technology Indore</t>
        </is>
      </c>
      <c r="E96" t="inlineStr">
        <is>
          <t>INI</t>
        </is>
      </c>
      <c r="F96" t="n">
        <v>27</v>
      </c>
      <c r="G96" t="n">
        <v>2025</v>
      </c>
      <c r="H96" t="inlineStr">
        <is>
          <t>No</t>
        </is>
      </c>
      <c r="I96" s="5" t="inlineStr">
        <is>
          <t>Indore</t>
        </is>
      </c>
      <c r="J96" t="inlineStr">
        <is>
          <t>A</t>
        </is>
      </c>
      <c r="K96" t="n">
        <v>100</v>
      </c>
      <c r="L96" t="inlineStr">
        <is>
          <t>India|Indian Institute of Technology Indore</t>
        </is>
      </c>
    </row>
    <row r="97">
      <c r="A97" s="5" t="inlineStr">
        <is>
          <t>Domestic</t>
        </is>
      </c>
      <c r="B97" s="5" t="inlineStr">
        <is>
          <t>India</t>
        </is>
      </c>
      <c r="C97" s="5" t="inlineStr">
        <is>
          <t>Madhya Pradesh</t>
        </is>
      </c>
      <c r="D97" s="5" t="inlineStr">
        <is>
          <t>Maulana Azad National Institute of Technology Bhopal</t>
        </is>
      </c>
      <c r="E97" t="inlineStr">
        <is>
          <t>INI</t>
        </is>
      </c>
      <c r="G97" t="n">
        <v>2025</v>
      </c>
      <c r="H97" t="inlineStr">
        <is>
          <t>No</t>
        </is>
      </c>
      <c r="I97" s="5" t="inlineStr">
        <is>
          <t>Bhopal</t>
        </is>
      </c>
      <c r="J97" t="inlineStr">
        <is>
          <t>A</t>
        </is>
      </c>
      <c r="K97" t="n">
        <v>100</v>
      </c>
      <c r="L97" t="inlineStr">
        <is>
          <t>India|Maulana Azad National Institute of Technology Bhopal</t>
        </is>
      </c>
    </row>
    <row r="98">
      <c r="A98" s="5" t="inlineStr">
        <is>
          <t>Domestic</t>
        </is>
      </c>
      <c r="B98" s="5" t="inlineStr">
        <is>
          <t>India</t>
        </is>
      </c>
      <c r="C98" s="5" t="inlineStr">
        <is>
          <t>Madhya Pradesh</t>
        </is>
      </c>
      <c r="D98" s="5" t="inlineStr">
        <is>
          <t>National Institute of Design, Madhya Pradesh</t>
        </is>
      </c>
      <c r="E98" t="inlineStr">
        <is>
          <t>INI</t>
        </is>
      </c>
      <c r="G98" t="n">
        <v>2025</v>
      </c>
      <c r="H98" t="inlineStr">
        <is>
          <t>No</t>
        </is>
      </c>
      <c r="I98" s="5" t="inlineStr">
        <is>
          <t>Bhopal</t>
        </is>
      </c>
      <c r="J98" t="inlineStr">
        <is>
          <t>A</t>
        </is>
      </c>
      <c r="K98" t="n">
        <v>100</v>
      </c>
      <c r="L98" t="inlineStr">
        <is>
          <t>India|National Institute of Design, Madhya Pradesh</t>
        </is>
      </c>
    </row>
    <row r="99">
      <c r="A99" s="5" t="inlineStr">
        <is>
          <t>Domestic</t>
        </is>
      </c>
      <c r="B99" s="5" t="inlineStr">
        <is>
          <t>India</t>
        </is>
      </c>
      <c r="C99" s="5" t="inlineStr">
        <is>
          <t>Madhya Pradesh</t>
        </is>
      </c>
      <c r="D99" s="5" t="inlineStr">
        <is>
          <t>Pandit Dwarka Prasad Mishra Indian Institute of Information Technology, Design and Manufacturing, Jabalpur</t>
        </is>
      </c>
      <c r="E99" t="inlineStr">
        <is>
          <t>INI</t>
        </is>
      </c>
      <c r="G99" t="n">
        <v>2025</v>
      </c>
      <c r="H99" t="inlineStr">
        <is>
          <t>No</t>
        </is>
      </c>
      <c r="I99" s="5" t="inlineStr">
        <is>
          <t>Jabalpur</t>
        </is>
      </c>
      <c r="J99" t="inlineStr">
        <is>
          <t>A</t>
        </is>
      </c>
      <c r="K99" t="n">
        <v>100</v>
      </c>
      <c r="L99" t="inlineStr">
        <is>
          <t>India|Pandit Dwarka Prasad Mishra Indian Institute of Information Technology, Design and Manufacturing, Jabalpur</t>
        </is>
      </c>
    </row>
    <row r="100">
      <c r="A100" s="5" t="inlineStr">
        <is>
          <t>Domestic</t>
        </is>
      </c>
      <c r="B100" s="5" t="inlineStr">
        <is>
          <t>India</t>
        </is>
      </c>
      <c r="C100" s="5" t="inlineStr">
        <is>
          <t>Madhya Pradesh</t>
        </is>
      </c>
      <c r="D100" s="5" t="inlineStr">
        <is>
          <t>School of Planning and Architecture, Bhopal</t>
        </is>
      </c>
      <c r="E100" t="inlineStr">
        <is>
          <t>INI</t>
        </is>
      </c>
      <c r="G100" t="n">
        <v>2025</v>
      </c>
      <c r="H100" t="inlineStr">
        <is>
          <t>No</t>
        </is>
      </c>
      <c r="I100" s="5" t="inlineStr">
        <is>
          <t>Bhopal</t>
        </is>
      </c>
      <c r="J100" t="inlineStr">
        <is>
          <t>A</t>
        </is>
      </c>
      <c r="K100" t="n">
        <v>100</v>
      </c>
      <c r="L100" t="inlineStr">
        <is>
          <t>India|School of Planning and Architecture, Bhopal</t>
        </is>
      </c>
    </row>
    <row r="101">
      <c r="A101" s="5" t="inlineStr">
        <is>
          <t>Domestic</t>
        </is>
      </c>
      <c r="B101" s="5" t="inlineStr">
        <is>
          <t>India</t>
        </is>
      </c>
      <c r="C101" s="5" t="inlineStr">
        <is>
          <t>Maharashtra</t>
        </is>
      </c>
      <c r="D101" s="5" t="inlineStr">
        <is>
          <t>All India Institute of Medical Sciences, Nagpur</t>
        </is>
      </c>
      <c r="E101" t="inlineStr">
        <is>
          <t>INI</t>
        </is>
      </c>
      <c r="G101" t="n">
        <v>2025</v>
      </c>
      <c r="H101" t="inlineStr">
        <is>
          <t>No</t>
        </is>
      </c>
      <c r="I101" s="5" t="inlineStr">
        <is>
          <t>Nagpur</t>
        </is>
      </c>
      <c r="J101" t="inlineStr">
        <is>
          <t>A</t>
        </is>
      </c>
      <c r="K101" t="n">
        <v>100</v>
      </c>
      <c r="L101" t="inlineStr">
        <is>
          <t>India|All India Institute of Medical Sciences, Nagpur</t>
        </is>
      </c>
    </row>
    <row r="102">
      <c r="A102" s="5" t="inlineStr">
        <is>
          <t>Domestic</t>
        </is>
      </c>
      <c r="B102" s="5" t="inlineStr">
        <is>
          <t>India</t>
        </is>
      </c>
      <c r="C102" s="5" t="inlineStr">
        <is>
          <t>Maharashtra</t>
        </is>
      </c>
      <c r="D102" s="5" t="inlineStr">
        <is>
          <t>Homi Bhabha National Institute</t>
        </is>
      </c>
      <c r="E102" t="inlineStr">
        <is>
          <t>NIRF Top 50</t>
        </is>
      </c>
      <c r="F102" t="n">
        <v>20</v>
      </c>
      <c r="G102" t="n">
        <v>2025</v>
      </c>
      <c r="H102" t="inlineStr">
        <is>
          <t>No</t>
        </is>
      </c>
      <c r="I102" s="5" t="inlineStr">
        <is>
          <t>Mumbai</t>
        </is>
      </c>
      <c r="J102" t="inlineStr">
        <is>
          <t>C</t>
        </is>
      </c>
      <c r="K102" t="n">
        <v>90</v>
      </c>
      <c r="L102" t="inlineStr">
        <is>
          <t>India|Homi Bhabha National Institute</t>
        </is>
      </c>
    </row>
    <row r="103">
      <c r="A103" s="5" t="inlineStr">
        <is>
          <t>Domestic</t>
        </is>
      </c>
      <c r="B103" s="5" t="inlineStr">
        <is>
          <t>India</t>
        </is>
      </c>
      <c r="C103" s="5" t="inlineStr">
        <is>
          <t>Maharashtra</t>
        </is>
      </c>
      <c r="D103" s="5" t="inlineStr">
        <is>
          <t>Indian Institute of Information Technology, Nagpur</t>
        </is>
      </c>
      <c r="E103" t="inlineStr">
        <is>
          <t>INI</t>
        </is>
      </c>
      <c r="G103" t="n">
        <v>2025</v>
      </c>
      <c r="H103" t="inlineStr">
        <is>
          <t>No</t>
        </is>
      </c>
      <c r="I103" s="5" t="inlineStr">
        <is>
          <t>Nagpur</t>
        </is>
      </c>
      <c r="J103" t="inlineStr">
        <is>
          <t>A</t>
        </is>
      </c>
      <c r="K103" t="n">
        <v>100</v>
      </c>
      <c r="L103" t="inlineStr">
        <is>
          <t>India|Indian Institute of Information Technology, Nagpur</t>
        </is>
      </c>
    </row>
    <row r="104">
      <c r="A104" s="5" t="inlineStr">
        <is>
          <t>Domestic</t>
        </is>
      </c>
      <c r="B104" s="5" t="inlineStr">
        <is>
          <t>India</t>
        </is>
      </c>
      <c r="C104" s="5" t="inlineStr">
        <is>
          <t>Maharashtra</t>
        </is>
      </c>
      <c r="D104" s="5" t="inlineStr">
        <is>
          <t>Indian Institute of Information Technology, Pune</t>
        </is>
      </c>
      <c r="E104" t="inlineStr">
        <is>
          <t>INI</t>
        </is>
      </c>
      <c r="G104" t="n">
        <v>2025</v>
      </c>
      <c r="H104" t="inlineStr">
        <is>
          <t>No</t>
        </is>
      </c>
      <c r="I104" s="5" t="inlineStr">
        <is>
          <t>Pune</t>
        </is>
      </c>
      <c r="J104" t="inlineStr">
        <is>
          <t>A</t>
        </is>
      </c>
      <c r="K104" t="n">
        <v>100</v>
      </c>
      <c r="L104" t="inlineStr">
        <is>
          <t>India|Indian Institute of Information Technology, Pune</t>
        </is>
      </c>
    </row>
    <row r="105">
      <c r="A105" s="5" t="inlineStr">
        <is>
          <t>Domestic</t>
        </is>
      </c>
      <c r="B105" s="5" t="inlineStr">
        <is>
          <t>India</t>
        </is>
      </c>
      <c r="C105" s="5" t="inlineStr">
        <is>
          <t>Maharashtra</t>
        </is>
      </c>
      <c r="D105" s="5" t="inlineStr">
        <is>
          <t>Indian Institute of Management Mumbai</t>
        </is>
      </c>
      <c r="E105" t="inlineStr">
        <is>
          <t>INI</t>
        </is>
      </c>
      <c r="G105" t="n">
        <v>2025</v>
      </c>
      <c r="H105" t="inlineStr">
        <is>
          <t>No</t>
        </is>
      </c>
      <c r="I105" s="5" t="inlineStr">
        <is>
          <t>Mumbai</t>
        </is>
      </c>
      <c r="J105" t="inlineStr">
        <is>
          <t>A</t>
        </is>
      </c>
      <c r="K105" t="n">
        <v>100</v>
      </c>
      <c r="L105" t="inlineStr">
        <is>
          <t>India|Indian Institute of Management Mumbai</t>
        </is>
      </c>
    </row>
    <row r="106">
      <c r="A106" s="5" t="inlineStr">
        <is>
          <t>Domestic</t>
        </is>
      </c>
      <c r="B106" s="5" t="inlineStr">
        <is>
          <t>India</t>
        </is>
      </c>
      <c r="C106" s="5" t="inlineStr">
        <is>
          <t>Maharashtra</t>
        </is>
      </c>
      <c r="D106" s="5" t="inlineStr">
        <is>
          <t>Indian Institute of Management Nagpur</t>
        </is>
      </c>
      <c r="E106" t="inlineStr">
        <is>
          <t>INI</t>
        </is>
      </c>
      <c r="G106" t="n">
        <v>2025</v>
      </c>
      <c r="H106" t="inlineStr">
        <is>
          <t>No</t>
        </is>
      </c>
      <c r="I106" s="5" t="inlineStr">
        <is>
          <t>Nagpur</t>
        </is>
      </c>
      <c r="J106" t="inlineStr">
        <is>
          <t>A</t>
        </is>
      </c>
      <c r="K106" t="n">
        <v>100</v>
      </c>
      <c r="L106" t="inlineStr">
        <is>
          <t>India|Indian Institute of Management Nagpur</t>
        </is>
      </c>
    </row>
    <row r="107">
      <c r="A107" s="5" t="inlineStr">
        <is>
          <t>Domestic</t>
        </is>
      </c>
      <c r="B107" s="5" t="inlineStr">
        <is>
          <t>India</t>
        </is>
      </c>
      <c r="C107" s="5" t="inlineStr">
        <is>
          <t>Maharashtra</t>
        </is>
      </c>
      <c r="D107" s="5" t="inlineStr">
        <is>
          <t>Indian Institute of Science Education and Research Pune</t>
        </is>
      </c>
      <c r="E107" t="inlineStr">
        <is>
          <t>INI</t>
        </is>
      </c>
      <c r="G107" t="n">
        <v>2025</v>
      </c>
      <c r="H107" t="inlineStr">
        <is>
          <t>No</t>
        </is>
      </c>
      <c r="I107" s="5" t="inlineStr">
        <is>
          <t>Pune</t>
        </is>
      </c>
      <c r="J107" t="inlineStr">
        <is>
          <t>A</t>
        </is>
      </c>
      <c r="K107" t="n">
        <v>100</v>
      </c>
      <c r="L107" t="inlineStr">
        <is>
          <t>India|Indian Institute of Science Education and Research Pune</t>
        </is>
      </c>
    </row>
    <row r="108">
      <c r="A108" s="5" t="inlineStr">
        <is>
          <t>Domestic</t>
        </is>
      </c>
      <c r="B108" s="5" t="inlineStr">
        <is>
          <t>India</t>
        </is>
      </c>
      <c r="C108" s="5" t="inlineStr">
        <is>
          <t>Maharashtra</t>
        </is>
      </c>
      <c r="D108" s="5" t="inlineStr">
        <is>
          <t>Indian Institute of Technology Bombay</t>
        </is>
      </c>
      <c r="E108" t="inlineStr">
        <is>
          <t>INI</t>
        </is>
      </c>
      <c r="F108" t="n">
        <v>3</v>
      </c>
      <c r="G108" t="n">
        <v>2025</v>
      </c>
      <c r="H108" t="inlineStr">
        <is>
          <t>No</t>
        </is>
      </c>
      <c r="I108" s="5" t="inlineStr">
        <is>
          <t>Mumbai</t>
        </is>
      </c>
      <c r="J108" t="inlineStr">
        <is>
          <t>A</t>
        </is>
      </c>
      <c r="K108" t="n">
        <v>100</v>
      </c>
      <c r="L108" t="inlineStr">
        <is>
          <t>India|Indian Institute of Technology Bombay</t>
        </is>
      </c>
    </row>
    <row r="109">
      <c r="A109" s="5" t="inlineStr">
        <is>
          <t>Domestic</t>
        </is>
      </c>
      <c r="B109" s="5" t="inlineStr">
        <is>
          <t>India</t>
        </is>
      </c>
      <c r="C109" s="5" t="inlineStr">
        <is>
          <t>Maharashtra</t>
        </is>
      </c>
      <c r="D109" s="5" t="inlineStr">
        <is>
          <t>Visvesvaraya National Institute of Technology Nagpur</t>
        </is>
      </c>
      <c r="E109" t="inlineStr">
        <is>
          <t>INI</t>
        </is>
      </c>
      <c r="G109" t="n">
        <v>2025</v>
      </c>
      <c r="H109" t="inlineStr">
        <is>
          <t>No</t>
        </is>
      </c>
      <c r="I109" s="5" t="inlineStr">
        <is>
          <t>Nagpur</t>
        </is>
      </c>
      <c r="J109" t="inlineStr">
        <is>
          <t>A</t>
        </is>
      </c>
      <c r="K109" t="n">
        <v>100</v>
      </c>
      <c r="L109" t="inlineStr">
        <is>
          <t>India|Visvesvaraya National Institute of Technology Nagpur</t>
        </is>
      </c>
    </row>
    <row r="110">
      <c r="A110" s="5" t="inlineStr">
        <is>
          <t>Domestic</t>
        </is>
      </c>
      <c r="B110" s="5" t="inlineStr">
        <is>
          <t>India</t>
        </is>
      </c>
      <c r="C110" s="5" t="inlineStr">
        <is>
          <t>Manipur</t>
        </is>
      </c>
      <c r="D110" s="5" t="inlineStr">
        <is>
          <t>Indian Institute of Information Technology, Manipur</t>
        </is>
      </c>
      <c r="E110" t="inlineStr">
        <is>
          <t>INI</t>
        </is>
      </c>
      <c r="G110" t="n">
        <v>2025</v>
      </c>
      <c r="H110" t="inlineStr">
        <is>
          <t>No</t>
        </is>
      </c>
      <c r="I110" s="5" t="inlineStr">
        <is>
          <t>Senapati</t>
        </is>
      </c>
      <c r="J110" t="inlineStr">
        <is>
          <t>A</t>
        </is>
      </c>
      <c r="K110" t="n">
        <v>100</v>
      </c>
      <c r="L110" t="inlineStr">
        <is>
          <t>India|Indian Institute of Information Technology, Manipur</t>
        </is>
      </c>
    </row>
    <row r="111">
      <c r="A111" s="5" t="inlineStr">
        <is>
          <t>Domestic</t>
        </is>
      </c>
      <c r="B111" s="5" t="inlineStr">
        <is>
          <t>India</t>
        </is>
      </c>
      <c r="C111" s="5" t="inlineStr">
        <is>
          <t>Manipur</t>
        </is>
      </c>
      <c r="D111" s="5" t="inlineStr">
        <is>
          <t>National Institute of Technology Manipur</t>
        </is>
      </c>
      <c r="E111" t="inlineStr">
        <is>
          <t>INI</t>
        </is>
      </c>
      <c r="G111" t="n">
        <v>2025</v>
      </c>
      <c r="H111" t="inlineStr">
        <is>
          <t>No</t>
        </is>
      </c>
      <c r="I111" s="5" t="inlineStr">
        <is>
          <t>Imphal</t>
        </is>
      </c>
      <c r="J111" t="inlineStr">
        <is>
          <t>A</t>
        </is>
      </c>
      <c r="K111" t="n">
        <v>100</v>
      </c>
      <c r="L111" t="inlineStr">
        <is>
          <t>India|National Institute of Technology Manipur</t>
        </is>
      </c>
    </row>
    <row r="112">
      <c r="A112" s="5" t="inlineStr">
        <is>
          <t>Domestic</t>
        </is>
      </c>
      <c r="B112" s="5" t="inlineStr">
        <is>
          <t>India</t>
        </is>
      </c>
      <c r="C112" s="5" t="inlineStr">
        <is>
          <t>Meghalaya</t>
        </is>
      </c>
      <c r="D112" s="5" t="inlineStr">
        <is>
          <t>Indian Institute of Management Shillong</t>
        </is>
      </c>
      <c r="E112" t="inlineStr">
        <is>
          <t>INI</t>
        </is>
      </c>
      <c r="G112" t="n">
        <v>2025</v>
      </c>
      <c r="H112" t="inlineStr">
        <is>
          <t>No</t>
        </is>
      </c>
      <c r="I112" s="5" t="inlineStr">
        <is>
          <t>Shillong</t>
        </is>
      </c>
      <c r="J112" t="inlineStr">
        <is>
          <t>A</t>
        </is>
      </c>
      <c r="K112" t="n">
        <v>100</v>
      </c>
      <c r="L112" t="inlineStr">
        <is>
          <t>India|Indian Institute of Management Shillong</t>
        </is>
      </c>
    </row>
    <row r="113">
      <c r="A113" s="5" t="inlineStr">
        <is>
          <t>Domestic</t>
        </is>
      </c>
      <c r="B113" s="5" t="inlineStr">
        <is>
          <t>India</t>
        </is>
      </c>
      <c r="C113" s="5" t="inlineStr">
        <is>
          <t>Meghalaya</t>
        </is>
      </c>
      <c r="D113" s="5" t="inlineStr">
        <is>
          <t>National Institute of Technology Meghalaya</t>
        </is>
      </c>
      <c r="E113" t="inlineStr">
        <is>
          <t>INI</t>
        </is>
      </c>
      <c r="G113" t="n">
        <v>2025</v>
      </c>
      <c r="H113" t="inlineStr">
        <is>
          <t>No</t>
        </is>
      </c>
      <c r="I113" s="5" t="inlineStr">
        <is>
          <t>Shillong</t>
        </is>
      </c>
      <c r="J113" t="inlineStr">
        <is>
          <t>A</t>
        </is>
      </c>
      <c r="K113" t="n">
        <v>100</v>
      </c>
      <c r="L113" t="inlineStr">
        <is>
          <t>India|National Institute of Technology Meghalaya</t>
        </is>
      </c>
    </row>
    <row r="114">
      <c r="A114" s="5" t="inlineStr">
        <is>
          <t>Domestic</t>
        </is>
      </c>
      <c r="B114" s="5" t="inlineStr">
        <is>
          <t>India</t>
        </is>
      </c>
      <c r="C114" s="5" t="inlineStr">
        <is>
          <t>Mizoram</t>
        </is>
      </c>
      <c r="D114" s="5" t="inlineStr">
        <is>
          <t>National Institute of Technology Mizoram</t>
        </is>
      </c>
      <c r="E114" t="inlineStr">
        <is>
          <t>INI</t>
        </is>
      </c>
      <c r="G114" t="n">
        <v>2025</v>
      </c>
      <c r="H114" t="inlineStr">
        <is>
          <t>No</t>
        </is>
      </c>
      <c r="I114" s="5" t="inlineStr">
        <is>
          <t>Aizawl</t>
        </is>
      </c>
      <c r="J114" t="inlineStr">
        <is>
          <t>A</t>
        </is>
      </c>
      <c r="K114" t="n">
        <v>100</v>
      </c>
      <c r="L114" t="inlineStr">
        <is>
          <t>India|National Institute of Technology Mizoram</t>
        </is>
      </c>
    </row>
    <row r="115">
      <c r="A115" s="5" t="inlineStr">
        <is>
          <t>Domestic</t>
        </is>
      </c>
      <c r="B115" s="5" t="inlineStr">
        <is>
          <t>India</t>
        </is>
      </c>
      <c r="C115" s="5" t="inlineStr">
        <is>
          <t>Nagaland</t>
        </is>
      </c>
      <c r="D115" s="5" t="inlineStr">
        <is>
          <t>National Institute of Technology Nagaland</t>
        </is>
      </c>
      <c r="E115" t="inlineStr">
        <is>
          <t>INI</t>
        </is>
      </c>
      <c r="G115" t="n">
        <v>2025</v>
      </c>
      <c r="H115" t="inlineStr">
        <is>
          <t>No</t>
        </is>
      </c>
      <c r="I115" s="5" t="inlineStr">
        <is>
          <t>Dimapur</t>
        </is>
      </c>
      <c r="J115" t="inlineStr">
        <is>
          <t>A</t>
        </is>
      </c>
      <c r="K115" t="n">
        <v>100</v>
      </c>
      <c r="L115" t="inlineStr">
        <is>
          <t>India|National Institute of Technology Nagaland</t>
        </is>
      </c>
    </row>
    <row r="116">
      <c r="A116" s="5" t="inlineStr">
        <is>
          <t>Domestic</t>
        </is>
      </c>
      <c r="B116" s="5" t="inlineStr">
        <is>
          <t>India</t>
        </is>
      </c>
      <c r="C116" s="5" t="inlineStr">
        <is>
          <t>Odisha</t>
        </is>
      </c>
      <c r="D116" s="5" t="inlineStr">
        <is>
          <t>All India Institute of Medical Sciences, Bhubaneswar</t>
        </is>
      </c>
      <c r="E116" t="inlineStr">
        <is>
          <t>INI</t>
        </is>
      </c>
      <c r="G116" t="n">
        <v>2025</v>
      </c>
      <c r="H116" t="inlineStr">
        <is>
          <t>No</t>
        </is>
      </c>
      <c r="I116" s="5" t="inlineStr">
        <is>
          <t>Bhubaneswar</t>
        </is>
      </c>
      <c r="J116" t="inlineStr">
        <is>
          <t>A</t>
        </is>
      </c>
      <c r="K116" t="n">
        <v>100</v>
      </c>
      <c r="L116" t="inlineStr">
        <is>
          <t>India|All India Institute of Medical Sciences, Bhubaneswar</t>
        </is>
      </c>
    </row>
    <row r="117">
      <c r="A117" s="5" t="inlineStr">
        <is>
          <t>Domestic</t>
        </is>
      </c>
      <c r="B117" s="5" t="inlineStr">
        <is>
          <t>India</t>
        </is>
      </c>
      <c r="C117" s="5" t="inlineStr">
        <is>
          <t>Odisha</t>
        </is>
      </c>
      <c r="D117" s="5" t="inlineStr">
        <is>
          <t>Indian Institute of Management Sambalpur</t>
        </is>
      </c>
      <c r="E117" t="inlineStr">
        <is>
          <t>INI</t>
        </is>
      </c>
      <c r="G117" t="n">
        <v>2025</v>
      </c>
      <c r="H117" t="inlineStr">
        <is>
          <t>No</t>
        </is>
      </c>
      <c r="I117" s="5" t="inlineStr">
        <is>
          <t>Sambalpur</t>
        </is>
      </c>
      <c r="J117" t="inlineStr">
        <is>
          <t>A</t>
        </is>
      </c>
      <c r="K117" t="n">
        <v>100</v>
      </c>
      <c r="L117" t="inlineStr">
        <is>
          <t>India|Indian Institute of Management Sambalpur</t>
        </is>
      </c>
    </row>
    <row r="118">
      <c r="A118" s="5" t="inlineStr">
        <is>
          <t>Domestic</t>
        </is>
      </c>
      <c r="B118" s="5" t="inlineStr">
        <is>
          <t>India</t>
        </is>
      </c>
      <c r="C118" s="5" t="inlineStr">
        <is>
          <t>Odisha</t>
        </is>
      </c>
      <c r="D118" s="5" t="inlineStr">
        <is>
          <t>Indian Institute of Science Education and Research Berhampur</t>
        </is>
      </c>
      <c r="E118" t="inlineStr">
        <is>
          <t>INI</t>
        </is>
      </c>
      <c r="G118" t="n">
        <v>2025</v>
      </c>
      <c r="H118" t="inlineStr">
        <is>
          <t>No</t>
        </is>
      </c>
      <c r="I118" s="5" t="inlineStr">
        <is>
          <t>Berhampur</t>
        </is>
      </c>
      <c r="J118" t="inlineStr">
        <is>
          <t>A</t>
        </is>
      </c>
      <c r="K118" t="n">
        <v>100</v>
      </c>
      <c r="L118" t="inlineStr">
        <is>
          <t>India|Indian Institute of Science Education and Research Berhampur</t>
        </is>
      </c>
    </row>
    <row r="119">
      <c r="A119" s="5" t="inlineStr">
        <is>
          <t>Domestic</t>
        </is>
      </c>
      <c r="B119" s="5" t="inlineStr">
        <is>
          <t>India</t>
        </is>
      </c>
      <c r="C119" s="5" t="inlineStr">
        <is>
          <t>Odisha</t>
        </is>
      </c>
      <c r="D119" s="5" t="inlineStr">
        <is>
          <t>Indian Institute of Technology Bhubaneswar</t>
        </is>
      </c>
      <c r="E119" t="inlineStr">
        <is>
          <t>INI</t>
        </is>
      </c>
      <c r="G119" t="n">
        <v>2025</v>
      </c>
      <c r="H119" t="inlineStr">
        <is>
          <t>No</t>
        </is>
      </c>
      <c r="I119" s="5" t="inlineStr">
        <is>
          <t>Bhubaneswar</t>
        </is>
      </c>
      <c r="J119" t="inlineStr">
        <is>
          <t>A</t>
        </is>
      </c>
      <c r="K119" t="n">
        <v>100</v>
      </c>
      <c r="L119" t="inlineStr">
        <is>
          <t>India|Indian Institute of Technology Bhubaneswar</t>
        </is>
      </c>
    </row>
    <row r="120">
      <c r="A120" s="5" t="inlineStr">
        <is>
          <t>Domestic</t>
        </is>
      </c>
      <c r="B120" s="5" t="inlineStr">
        <is>
          <t>India</t>
        </is>
      </c>
      <c r="C120" s="5" t="inlineStr">
        <is>
          <t>Odisha</t>
        </is>
      </c>
      <c r="D120" s="5" t="inlineStr">
        <is>
          <t>National Institute of Technology Rourkela</t>
        </is>
      </c>
      <c r="E120" t="inlineStr">
        <is>
          <t>INI</t>
        </is>
      </c>
      <c r="F120" t="n">
        <v>34</v>
      </c>
      <c r="G120" t="n">
        <v>2025</v>
      </c>
      <c r="H120" t="inlineStr">
        <is>
          <t>No</t>
        </is>
      </c>
      <c r="I120" s="5" t="inlineStr">
        <is>
          <t>Rourkela</t>
        </is>
      </c>
      <c r="J120" t="inlineStr">
        <is>
          <t>A</t>
        </is>
      </c>
      <c r="K120" t="n">
        <v>100</v>
      </c>
      <c r="L120" t="inlineStr">
        <is>
          <t>India|National Institute of Technology Rourkela</t>
        </is>
      </c>
    </row>
    <row r="121">
      <c r="A121" s="5" t="inlineStr">
        <is>
          <t>Domestic</t>
        </is>
      </c>
      <c r="B121" s="5" t="inlineStr">
        <is>
          <t>India</t>
        </is>
      </c>
      <c r="C121" s="5" t="inlineStr">
        <is>
          <t>Puducherry</t>
        </is>
      </c>
      <c r="D121" s="5" t="inlineStr">
        <is>
          <t>Jawaharlal Institute of Postgraduate Medical Education and Research</t>
        </is>
      </c>
      <c r="E121" t="inlineStr">
        <is>
          <t>INI</t>
        </is>
      </c>
      <c r="F121" t="n">
        <v>43</v>
      </c>
      <c r="G121" t="n">
        <v>2025</v>
      </c>
      <c r="H121" t="inlineStr">
        <is>
          <t>No</t>
        </is>
      </c>
      <c r="I121" s="5" t="inlineStr">
        <is>
          <t>Puducherry</t>
        </is>
      </c>
      <c r="J121" t="inlineStr">
        <is>
          <t>A</t>
        </is>
      </c>
      <c r="K121" t="n">
        <v>100</v>
      </c>
      <c r="L121" t="inlineStr">
        <is>
          <t>India|Jawaharlal Institute of Postgraduate Medical Education and Research</t>
        </is>
      </c>
    </row>
    <row r="122">
      <c r="A122" s="5" t="inlineStr">
        <is>
          <t>Domestic</t>
        </is>
      </c>
      <c r="B122" s="5" t="inlineStr">
        <is>
          <t>India</t>
        </is>
      </c>
      <c r="C122" s="5" t="inlineStr">
        <is>
          <t>Puducherry</t>
        </is>
      </c>
      <c r="D122" s="5" t="inlineStr">
        <is>
          <t>National Institute of Technology Puducherry</t>
        </is>
      </c>
      <c r="E122" t="inlineStr">
        <is>
          <t>INI</t>
        </is>
      </c>
      <c r="G122" t="n">
        <v>2025</v>
      </c>
      <c r="H122" t="inlineStr">
        <is>
          <t>No</t>
        </is>
      </c>
      <c r="I122" s="5" t="inlineStr">
        <is>
          <t>Karaikal</t>
        </is>
      </c>
      <c r="J122" t="inlineStr">
        <is>
          <t>A</t>
        </is>
      </c>
      <c r="K122" t="n">
        <v>100</v>
      </c>
      <c r="L122" t="inlineStr">
        <is>
          <t>India|National Institute of Technology Puducherry</t>
        </is>
      </c>
    </row>
    <row r="123">
      <c r="A123" s="5" t="inlineStr">
        <is>
          <t>Domestic</t>
        </is>
      </c>
      <c r="B123" s="5" t="inlineStr">
        <is>
          <t>India</t>
        </is>
      </c>
      <c r="C123" s="5" t="inlineStr">
        <is>
          <t>Punjab</t>
        </is>
      </c>
      <c r="D123" s="5" t="inlineStr">
        <is>
          <t>All India Institute of Medical Sciences, Bathinda</t>
        </is>
      </c>
      <c r="E123" t="inlineStr">
        <is>
          <t>INI</t>
        </is>
      </c>
      <c r="G123" t="n">
        <v>2025</v>
      </c>
      <c r="H123" t="inlineStr">
        <is>
          <t>No</t>
        </is>
      </c>
      <c r="I123" s="5" t="inlineStr">
        <is>
          <t>Bathinda</t>
        </is>
      </c>
      <c r="J123" t="inlineStr">
        <is>
          <t>A</t>
        </is>
      </c>
      <c r="K123" t="n">
        <v>100</v>
      </c>
      <c r="L123" t="inlineStr">
        <is>
          <t>India|All India Institute of Medical Sciences, Bathinda</t>
        </is>
      </c>
    </row>
    <row r="124">
      <c r="A124" s="5" t="inlineStr">
        <is>
          <t>Domestic</t>
        </is>
      </c>
      <c r="B124" s="5" t="inlineStr">
        <is>
          <t>India</t>
        </is>
      </c>
      <c r="C124" s="5" t="inlineStr">
        <is>
          <t>Punjab</t>
        </is>
      </c>
      <c r="D124" s="5" t="inlineStr">
        <is>
          <t>Dr. B. R. Ambedkar National Institute of Technology Jalandhar</t>
        </is>
      </c>
      <c r="E124" t="inlineStr">
        <is>
          <t>INI</t>
        </is>
      </c>
      <c r="G124" t="n">
        <v>2025</v>
      </c>
      <c r="H124" t="inlineStr">
        <is>
          <t>No</t>
        </is>
      </c>
      <c r="I124" s="5" t="inlineStr">
        <is>
          <t>Jalandhar</t>
        </is>
      </c>
      <c r="J124" t="inlineStr">
        <is>
          <t>A</t>
        </is>
      </c>
      <c r="K124" t="n">
        <v>100</v>
      </c>
      <c r="L124" t="inlineStr">
        <is>
          <t>India|Dr. B. R. Ambedkar National Institute of Technology Jalandhar</t>
        </is>
      </c>
    </row>
    <row r="125">
      <c r="A125" s="5" t="inlineStr">
        <is>
          <t>Domestic</t>
        </is>
      </c>
      <c r="B125" s="5" t="inlineStr">
        <is>
          <t>India</t>
        </is>
      </c>
      <c r="C125" s="5" t="inlineStr">
        <is>
          <t>Punjab</t>
        </is>
      </c>
      <c r="D125" s="5" t="inlineStr">
        <is>
          <t>Indian Institute of Management Amritsar</t>
        </is>
      </c>
      <c r="E125" t="inlineStr">
        <is>
          <t>INI</t>
        </is>
      </c>
      <c r="G125" t="n">
        <v>2025</v>
      </c>
      <c r="H125" t="inlineStr">
        <is>
          <t>No</t>
        </is>
      </c>
      <c r="I125" s="5" t="inlineStr">
        <is>
          <t>Amritsar</t>
        </is>
      </c>
      <c r="J125" t="inlineStr">
        <is>
          <t>A</t>
        </is>
      </c>
      <c r="K125" t="n">
        <v>100</v>
      </c>
      <c r="L125" t="inlineStr">
        <is>
          <t>India|Indian Institute of Management Amritsar</t>
        </is>
      </c>
    </row>
    <row r="126">
      <c r="A126" s="5" t="inlineStr">
        <is>
          <t>Domestic</t>
        </is>
      </c>
      <c r="B126" s="5" t="inlineStr">
        <is>
          <t>India</t>
        </is>
      </c>
      <c r="C126" s="5" t="inlineStr">
        <is>
          <t>Punjab</t>
        </is>
      </c>
      <c r="D126" s="5" t="inlineStr">
        <is>
          <t>Indian Institute of Science Education and Research Mohali</t>
        </is>
      </c>
      <c r="E126" t="inlineStr">
        <is>
          <t>INI</t>
        </is>
      </c>
      <c r="G126" t="n">
        <v>2025</v>
      </c>
      <c r="H126" t="inlineStr">
        <is>
          <t>No</t>
        </is>
      </c>
      <c r="I126" s="5" t="inlineStr">
        <is>
          <t>Mohali</t>
        </is>
      </c>
      <c r="J126" t="inlineStr">
        <is>
          <t>A</t>
        </is>
      </c>
      <c r="K126" t="n">
        <v>100</v>
      </c>
      <c r="L126" t="inlineStr">
        <is>
          <t>India|Indian Institute of Science Education and Research Mohali</t>
        </is>
      </c>
    </row>
    <row r="127">
      <c r="A127" s="5" t="inlineStr">
        <is>
          <t>Domestic</t>
        </is>
      </c>
      <c r="B127" s="5" t="inlineStr">
        <is>
          <t>India</t>
        </is>
      </c>
      <c r="C127" s="5" t="inlineStr">
        <is>
          <t>Punjab</t>
        </is>
      </c>
      <c r="D127" s="5" t="inlineStr">
        <is>
          <t>Indian Institute of Technology Ropar</t>
        </is>
      </c>
      <c r="E127" t="inlineStr">
        <is>
          <t>INI</t>
        </is>
      </c>
      <c r="G127" t="n">
        <v>2025</v>
      </c>
      <c r="H127" t="inlineStr">
        <is>
          <t>No</t>
        </is>
      </c>
      <c r="I127" s="5" t="inlineStr">
        <is>
          <t>Rupnagar</t>
        </is>
      </c>
      <c r="J127" t="inlineStr">
        <is>
          <t>A</t>
        </is>
      </c>
      <c r="K127" t="n">
        <v>100</v>
      </c>
      <c r="L127" t="inlineStr">
        <is>
          <t>India|Indian Institute of Technology Ropar</t>
        </is>
      </c>
    </row>
    <row r="128">
      <c r="A128" s="5" t="inlineStr">
        <is>
          <t>Domestic</t>
        </is>
      </c>
      <c r="B128" s="5" t="inlineStr">
        <is>
          <t>India</t>
        </is>
      </c>
      <c r="C128" s="5" t="inlineStr">
        <is>
          <t>Punjab</t>
        </is>
      </c>
      <c r="D128" s="5" t="inlineStr">
        <is>
          <t>National Institute of Pharmaceutical Education and Research, S.A.S. Nagar</t>
        </is>
      </c>
      <c r="E128" t="inlineStr">
        <is>
          <t>INI</t>
        </is>
      </c>
      <c r="G128" t="n">
        <v>2025</v>
      </c>
      <c r="H128" t="inlineStr">
        <is>
          <t>No</t>
        </is>
      </c>
      <c r="I128" s="5" t="inlineStr">
        <is>
          <t>Mohali</t>
        </is>
      </c>
      <c r="J128" t="inlineStr">
        <is>
          <t>A</t>
        </is>
      </c>
      <c r="K128" t="n">
        <v>100</v>
      </c>
      <c r="L128" t="inlineStr">
        <is>
          <t>India|National Institute of Pharmaceutical Education and Research, S.A.S. Nagar</t>
        </is>
      </c>
    </row>
    <row r="129">
      <c r="A129" s="5" t="inlineStr">
        <is>
          <t>Domestic</t>
        </is>
      </c>
      <c r="B129" s="5" t="inlineStr">
        <is>
          <t>India</t>
        </is>
      </c>
      <c r="C129" s="5" t="inlineStr">
        <is>
          <t>Rajasthan</t>
        </is>
      </c>
      <c r="D129" s="5" t="inlineStr">
        <is>
          <t>All India Institute of Medical Sciences, Jodhpur</t>
        </is>
      </c>
      <c r="E129" t="inlineStr">
        <is>
          <t>INI</t>
        </is>
      </c>
      <c r="G129" t="n">
        <v>2025</v>
      </c>
      <c r="H129" t="inlineStr">
        <is>
          <t>No</t>
        </is>
      </c>
      <c r="I129" s="5" t="inlineStr">
        <is>
          <t>Jodhpur</t>
        </is>
      </c>
      <c r="J129" t="inlineStr">
        <is>
          <t>A</t>
        </is>
      </c>
      <c r="K129" t="n">
        <v>100</v>
      </c>
      <c r="L129" t="inlineStr">
        <is>
          <t>India|All India Institute of Medical Sciences, Jodhpur</t>
        </is>
      </c>
    </row>
    <row r="130">
      <c r="A130" s="5" t="inlineStr">
        <is>
          <t>Domestic</t>
        </is>
      </c>
      <c r="B130" s="5" t="inlineStr">
        <is>
          <t>India</t>
        </is>
      </c>
      <c r="C130" s="5" t="inlineStr">
        <is>
          <t>Rajasthan</t>
        </is>
      </c>
      <c r="D130" s="5" t="inlineStr">
        <is>
          <t>Indian Institute of Information Technology, Kota</t>
        </is>
      </c>
      <c r="E130" t="inlineStr">
        <is>
          <t>INI</t>
        </is>
      </c>
      <c r="G130" t="n">
        <v>2025</v>
      </c>
      <c r="H130" t="inlineStr">
        <is>
          <t>No</t>
        </is>
      </c>
      <c r="I130" s="5" t="inlineStr">
        <is>
          <t>Kota</t>
        </is>
      </c>
      <c r="J130" t="inlineStr">
        <is>
          <t>A</t>
        </is>
      </c>
      <c r="K130" t="n">
        <v>100</v>
      </c>
      <c r="L130" t="inlineStr">
        <is>
          <t>India|Indian Institute of Information Technology, Kota</t>
        </is>
      </c>
    </row>
    <row r="131">
      <c r="A131" s="5" t="inlineStr">
        <is>
          <t>Domestic</t>
        </is>
      </c>
      <c r="B131" s="5" t="inlineStr">
        <is>
          <t>India</t>
        </is>
      </c>
      <c r="C131" s="5" t="inlineStr">
        <is>
          <t>Rajasthan</t>
        </is>
      </c>
      <c r="D131" s="5" t="inlineStr">
        <is>
          <t>Indian Institute of Management Udaipur</t>
        </is>
      </c>
      <c r="E131" t="inlineStr">
        <is>
          <t>INI</t>
        </is>
      </c>
      <c r="G131" t="n">
        <v>2025</v>
      </c>
      <c r="H131" t="inlineStr">
        <is>
          <t>No</t>
        </is>
      </c>
      <c r="I131" s="5" t="inlineStr">
        <is>
          <t>Udaipur</t>
        </is>
      </c>
      <c r="J131" t="inlineStr">
        <is>
          <t>A</t>
        </is>
      </c>
      <c r="K131" t="n">
        <v>100</v>
      </c>
      <c r="L131" t="inlineStr">
        <is>
          <t>India|Indian Institute of Management Udaipur</t>
        </is>
      </c>
    </row>
    <row r="132">
      <c r="A132" s="5" t="inlineStr">
        <is>
          <t>Domestic</t>
        </is>
      </c>
      <c r="B132" s="5" t="inlineStr">
        <is>
          <t>India</t>
        </is>
      </c>
      <c r="C132" s="5" t="inlineStr">
        <is>
          <t>Rajasthan</t>
        </is>
      </c>
      <c r="D132" s="5" t="inlineStr">
        <is>
          <t>Indian Institute of Technology Jodhpur</t>
        </is>
      </c>
      <c r="E132" t="inlineStr">
        <is>
          <t>INI</t>
        </is>
      </c>
      <c r="G132" t="n">
        <v>2025</v>
      </c>
      <c r="H132" t="inlineStr">
        <is>
          <t>No</t>
        </is>
      </c>
      <c r="I132" s="5" t="inlineStr">
        <is>
          <t>Jodhpur</t>
        </is>
      </c>
      <c r="J132" t="inlineStr">
        <is>
          <t>A</t>
        </is>
      </c>
      <c r="K132" t="n">
        <v>100</v>
      </c>
      <c r="L132" t="inlineStr">
        <is>
          <t>India|Indian Institute of Technology Jodhpur</t>
        </is>
      </c>
    </row>
    <row r="133">
      <c r="A133" s="5" t="inlineStr">
        <is>
          <t>Domestic</t>
        </is>
      </c>
      <c r="B133" s="5" t="inlineStr">
        <is>
          <t>India</t>
        </is>
      </c>
      <c r="C133" s="5" t="inlineStr">
        <is>
          <t>Rajasthan</t>
        </is>
      </c>
      <c r="D133" s="5" t="inlineStr">
        <is>
          <t>Malaviya National Institute of Technology Jaipur</t>
        </is>
      </c>
      <c r="E133" t="inlineStr">
        <is>
          <t>INI</t>
        </is>
      </c>
      <c r="G133" t="n">
        <v>2025</v>
      </c>
      <c r="H133" t="inlineStr">
        <is>
          <t>No</t>
        </is>
      </c>
      <c r="I133" s="5" t="inlineStr">
        <is>
          <t>Jaipur</t>
        </is>
      </c>
      <c r="J133" t="inlineStr">
        <is>
          <t>A</t>
        </is>
      </c>
      <c r="K133" t="n">
        <v>100</v>
      </c>
      <c r="L133" t="inlineStr">
        <is>
          <t>India|Malaviya National Institute of Technology Jaipur</t>
        </is>
      </c>
    </row>
    <row r="134">
      <c r="A134" s="5" t="inlineStr">
        <is>
          <t>Domestic</t>
        </is>
      </c>
      <c r="B134" s="5" t="inlineStr">
        <is>
          <t>India</t>
        </is>
      </c>
      <c r="C134" s="5" t="inlineStr">
        <is>
          <t>Sikkim</t>
        </is>
      </c>
      <c r="D134" s="5" t="inlineStr">
        <is>
          <t>National Institute of Technology Sikkim</t>
        </is>
      </c>
      <c r="E134" t="inlineStr">
        <is>
          <t>INI</t>
        </is>
      </c>
      <c r="G134" t="n">
        <v>2025</v>
      </c>
      <c r="H134" t="inlineStr">
        <is>
          <t>No</t>
        </is>
      </c>
      <c r="I134" s="5" t="inlineStr">
        <is>
          <t>Ravangla</t>
        </is>
      </c>
      <c r="J134" t="inlineStr">
        <is>
          <t>A</t>
        </is>
      </c>
      <c r="K134" t="n">
        <v>100</v>
      </c>
      <c r="L134" t="inlineStr">
        <is>
          <t>India|National Institute of Technology Sikkim</t>
        </is>
      </c>
    </row>
    <row r="135">
      <c r="A135" s="5" t="inlineStr">
        <is>
          <t>Domestic</t>
        </is>
      </c>
      <c r="B135" s="5" t="inlineStr">
        <is>
          <t>India</t>
        </is>
      </c>
      <c r="C135" s="5" t="inlineStr">
        <is>
          <t>Tamil Nadu</t>
        </is>
      </c>
      <c r="D135" s="5" t="inlineStr">
        <is>
          <t>All India Institute of Medical Sciences, Madurai</t>
        </is>
      </c>
      <c r="E135" t="inlineStr">
        <is>
          <t>INI</t>
        </is>
      </c>
      <c r="G135" t="n">
        <v>2025</v>
      </c>
      <c r="H135" t="inlineStr">
        <is>
          <t>No</t>
        </is>
      </c>
      <c r="I135" s="5" t="inlineStr">
        <is>
          <t>Madurai</t>
        </is>
      </c>
      <c r="J135" t="inlineStr">
        <is>
          <t>A</t>
        </is>
      </c>
      <c r="K135" t="n">
        <v>100</v>
      </c>
      <c r="L135" t="inlineStr">
        <is>
          <t>India|All India Institute of Medical Sciences, Madurai</t>
        </is>
      </c>
    </row>
    <row r="136">
      <c r="A136" s="5" t="inlineStr">
        <is>
          <t>Domestic</t>
        </is>
      </c>
      <c r="B136" s="5" t="inlineStr">
        <is>
          <t>India</t>
        </is>
      </c>
      <c r="C136" s="5" t="inlineStr">
        <is>
          <t>Tamil Nadu</t>
        </is>
      </c>
      <c r="D136" s="5" t="inlineStr">
        <is>
          <t>Anna University</t>
        </is>
      </c>
      <c r="E136" t="inlineStr">
        <is>
          <t>NIRF Top 50</t>
        </is>
      </c>
      <c r="F136" t="n">
        <v>29</v>
      </c>
      <c r="G136" t="n">
        <v>2025</v>
      </c>
      <c r="H136" t="inlineStr">
        <is>
          <t>No</t>
        </is>
      </c>
      <c r="I136" s="5" t="inlineStr">
        <is>
          <t>Chennai</t>
        </is>
      </c>
      <c r="J136" t="inlineStr">
        <is>
          <t>C</t>
        </is>
      </c>
      <c r="K136" t="n">
        <v>75</v>
      </c>
      <c r="L136" t="inlineStr">
        <is>
          <t>India|Anna University</t>
        </is>
      </c>
    </row>
    <row r="137">
      <c r="A137" s="5" t="inlineStr">
        <is>
          <t>Domestic</t>
        </is>
      </c>
      <c r="B137" s="5" t="inlineStr">
        <is>
          <t>India</t>
        </is>
      </c>
      <c r="C137" s="5" t="inlineStr">
        <is>
          <t>Tamil Nadu</t>
        </is>
      </c>
      <c r="D137" s="5" t="inlineStr">
        <is>
          <t>Dakshina Bharat Hindi Prachar Sabha</t>
        </is>
      </c>
      <c r="E137" t="inlineStr">
        <is>
          <t>INI</t>
        </is>
      </c>
      <c r="G137" t="n">
        <v>2025</v>
      </c>
      <c r="H137" t="inlineStr">
        <is>
          <t>No</t>
        </is>
      </c>
      <c r="I137" s="5" t="inlineStr">
        <is>
          <t>Chennai</t>
        </is>
      </c>
      <c r="J137" t="inlineStr">
        <is>
          <t>A</t>
        </is>
      </c>
      <c r="K137" t="n">
        <v>100</v>
      </c>
      <c r="L137" t="inlineStr">
        <is>
          <t>India|Dakshina Bharat Hindi Prachar Sabha</t>
        </is>
      </c>
    </row>
    <row r="138">
      <c r="A138" s="5" t="inlineStr">
        <is>
          <t>Domestic</t>
        </is>
      </c>
      <c r="B138" s="5" t="inlineStr">
        <is>
          <t>India</t>
        </is>
      </c>
      <c r="C138" s="5" t="inlineStr">
        <is>
          <t>Tamil Nadu</t>
        </is>
      </c>
      <c r="D138" s="5" t="inlineStr">
        <is>
          <t>Indian Institute of Information Technology, Design and Manufacturing, Kancheepuram</t>
        </is>
      </c>
      <c r="E138" t="inlineStr">
        <is>
          <t>INI</t>
        </is>
      </c>
      <c r="G138" t="n">
        <v>2025</v>
      </c>
      <c r="H138" t="inlineStr">
        <is>
          <t>No</t>
        </is>
      </c>
      <c r="I138" s="5" t="inlineStr">
        <is>
          <t>Chennai</t>
        </is>
      </c>
      <c r="J138" t="inlineStr">
        <is>
          <t>A</t>
        </is>
      </c>
      <c r="K138" t="n">
        <v>100</v>
      </c>
      <c r="L138" t="inlineStr">
        <is>
          <t>India|Indian Institute of Information Technology, Design and Manufacturing, Kancheepuram</t>
        </is>
      </c>
    </row>
    <row r="139">
      <c r="A139" s="5" t="inlineStr">
        <is>
          <t>Domestic</t>
        </is>
      </c>
      <c r="B139" s="5" t="inlineStr">
        <is>
          <t>India</t>
        </is>
      </c>
      <c r="C139" s="5" t="inlineStr">
        <is>
          <t>Tamil Nadu</t>
        </is>
      </c>
      <c r="D139" s="5" t="inlineStr">
        <is>
          <t>Indian Institute of Information Technology, Tiruchirappalli</t>
        </is>
      </c>
      <c r="E139" t="inlineStr">
        <is>
          <t>INI</t>
        </is>
      </c>
      <c r="G139" t="n">
        <v>2025</v>
      </c>
      <c r="H139" t="inlineStr">
        <is>
          <t>No</t>
        </is>
      </c>
      <c r="I139" s="5" t="inlineStr">
        <is>
          <t>Tiruchirappalli</t>
        </is>
      </c>
      <c r="J139" t="inlineStr">
        <is>
          <t>A</t>
        </is>
      </c>
      <c r="K139" t="n">
        <v>100</v>
      </c>
      <c r="L139" t="inlineStr">
        <is>
          <t>India|Indian Institute of Information Technology, Tiruchirappalli</t>
        </is>
      </c>
    </row>
    <row r="140">
      <c r="A140" s="5" t="inlineStr">
        <is>
          <t>Domestic</t>
        </is>
      </c>
      <c r="B140" s="5" t="inlineStr">
        <is>
          <t>India</t>
        </is>
      </c>
      <c r="C140" s="5" t="inlineStr">
        <is>
          <t>Tamil Nadu</t>
        </is>
      </c>
      <c r="D140" s="5" t="inlineStr">
        <is>
          <t>Indian Institute of Management Tiruchirappalli</t>
        </is>
      </c>
      <c r="E140" t="inlineStr">
        <is>
          <t>INI</t>
        </is>
      </c>
      <c r="G140" t="n">
        <v>2025</v>
      </c>
      <c r="H140" t="inlineStr">
        <is>
          <t>No</t>
        </is>
      </c>
      <c r="I140" s="5" t="inlineStr">
        <is>
          <t>Tiruchirappalli</t>
        </is>
      </c>
      <c r="J140" t="inlineStr">
        <is>
          <t>A</t>
        </is>
      </c>
      <c r="K140" t="n">
        <v>100</v>
      </c>
      <c r="L140" t="inlineStr">
        <is>
          <t>India|Indian Institute of Management Tiruchirappalli</t>
        </is>
      </c>
    </row>
    <row r="141">
      <c r="A141" s="5" t="inlineStr">
        <is>
          <t>Domestic</t>
        </is>
      </c>
      <c r="B141" s="5" t="inlineStr">
        <is>
          <t>India</t>
        </is>
      </c>
      <c r="C141" s="5" t="inlineStr">
        <is>
          <t>Tamil Nadu</t>
        </is>
      </c>
      <c r="D141" s="5" t="inlineStr">
        <is>
          <t>Indian Institute of Technology Madras</t>
        </is>
      </c>
      <c r="E141" t="inlineStr">
        <is>
          <t>INI</t>
        </is>
      </c>
      <c r="F141" t="n">
        <v>1</v>
      </c>
      <c r="G141" t="n">
        <v>2025</v>
      </c>
      <c r="H141" t="inlineStr">
        <is>
          <t>No</t>
        </is>
      </c>
      <c r="I141" s="5" t="inlineStr">
        <is>
          <t>Chennai</t>
        </is>
      </c>
      <c r="J141" t="inlineStr">
        <is>
          <t>A</t>
        </is>
      </c>
      <c r="K141" t="n">
        <v>100</v>
      </c>
      <c r="L141" t="inlineStr">
        <is>
          <t>India|Indian Institute of Technology Madras</t>
        </is>
      </c>
    </row>
    <row r="142">
      <c r="A142" s="5" t="inlineStr">
        <is>
          <t>Domestic</t>
        </is>
      </c>
      <c r="B142" s="5" t="inlineStr">
        <is>
          <t>India</t>
        </is>
      </c>
      <c r="C142" s="5" t="inlineStr">
        <is>
          <t>Tamil Nadu</t>
        </is>
      </c>
      <c r="D142" s="5" t="inlineStr">
        <is>
          <t>Kalakshetra Foundation</t>
        </is>
      </c>
      <c r="E142" t="inlineStr">
        <is>
          <t>INI</t>
        </is>
      </c>
      <c r="G142" t="n">
        <v>2025</v>
      </c>
      <c r="H142" t="inlineStr">
        <is>
          <t>No</t>
        </is>
      </c>
      <c r="I142" s="5" t="inlineStr">
        <is>
          <t>Chennai</t>
        </is>
      </c>
      <c r="J142" t="inlineStr">
        <is>
          <t>A</t>
        </is>
      </c>
      <c r="K142" t="n">
        <v>100</v>
      </c>
      <c r="L142" t="inlineStr">
        <is>
          <t>India|Kalakshetra Foundation</t>
        </is>
      </c>
    </row>
    <row r="143">
      <c r="A143" s="5" t="inlineStr">
        <is>
          <t>Domestic</t>
        </is>
      </c>
      <c r="B143" s="5" t="inlineStr">
        <is>
          <t>India</t>
        </is>
      </c>
      <c r="C143" s="5" t="inlineStr">
        <is>
          <t>Tamil Nadu</t>
        </is>
      </c>
      <c r="D143" s="5" t="inlineStr">
        <is>
          <t>National Institute of Food Technology, Entrepreneurship and Management, Thanjavur</t>
        </is>
      </c>
      <c r="E143" t="inlineStr">
        <is>
          <t>INI</t>
        </is>
      </c>
      <c r="G143" t="n">
        <v>2025</v>
      </c>
      <c r="H143" t="inlineStr">
        <is>
          <t>No</t>
        </is>
      </c>
      <c r="I143" s="5" t="inlineStr">
        <is>
          <t>Thanjavur</t>
        </is>
      </c>
      <c r="J143" t="inlineStr">
        <is>
          <t>A</t>
        </is>
      </c>
      <c r="K143" t="n">
        <v>100</v>
      </c>
      <c r="L143" t="inlineStr">
        <is>
          <t>India|National Institute of Food Technology, Entrepreneurship and Management, Thanjavur</t>
        </is>
      </c>
    </row>
    <row r="144">
      <c r="A144" s="5" t="inlineStr">
        <is>
          <t>Domestic</t>
        </is>
      </c>
      <c r="B144" s="5" t="inlineStr">
        <is>
          <t>India</t>
        </is>
      </c>
      <c r="C144" s="5" t="inlineStr">
        <is>
          <t>Tamil Nadu</t>
        </is>
      </c>
      <c r="D144" s="5" t="inlineStr">
        <is>
          <t>National Institute of Technology Tiruchirappalli</t>
        </is>
      </c>
      <c r="E144" t="inlineStr">
        <is>
          <t>INI</t>
        </is>
      </c>
      <c r="F144" t="n">
        <v>30</v>
      </c>
      <c r="G144" t="n">
        <v>2025</v>
      </c>
      <c r="H144" t="inlineStr">
        <is>
          <t>No</t>
        </is>
      </c>
      <c r="I144" s="5" t="inlineStr">
        <is>
          <t>Tiruchirappalli</t>
        </is>
      </c>
      <c r="J144" t="inlineStr">
        <is>
          <t>A</t>
        </is>
      </c>
      <c r="K144" t="n">
        <v>100</v>
      </c>
      <c r="L144" t="inlineStr">
        <is>
          <t>India|National Institute of Technology Tiruchirappalli</t>
        </is>
      </c>
    </row>
    <row r="145">
      <c r="A145" s="5" t="inlineStr">
        <is>
          <t>Domestic</t>
        </is>
      </c>
      <c r="B145" s="5" t="inlineStr">
        <is>
          <t>India</t>
        </is>
      </c>
      <c r="C145" s="5" t="inlineStr">
        <is>
          <t>Tamil Nadu</t>
        </is>
      </c>
      <c r="D145" s="5" t="inlineStr">
        <is>
          <t>Rajiv Gandhi National Institute of Youth Development</t>
        </is>
      </c>
      <c r="E145" t="inlineStr">
        <is>
          <t>INI</t>
        </is>
      </c>
      <c r="G145" t="n">
        <v>2025</v>
      </c>
      <c r="H145" t="inlineStr">
        <is>
          <t>No</t>
        </is>
      </c>
      <c r="I145" s="5" t="inlineStr">
        <is>
          <t>Sriperumbudur</t>
        </is>
      </c>
      <c r="J145" t="inlineStr">
        <is>
          <t>A</t>
        </is>
      </c>
      <c r="K145" t="n">
        <v>100</v>
      </c>
      <c r="L145" t="inlineStr">
        <is>
          <t>India|Rajiv Gandhi National Institute of Youth Development</t>
        </is>
      </c>
    </row>
    <row r="146">
      <c r="A146" s="5" t="inlineStr">
        <is>
          <t>Domestic</t>
        </is>
      </c>
      <c r="B146" s="5" t="inlineStr">
        <is>
          <t>India</t>
        </is>
      </c>
      <c r="C146" s="5" t="inlineStr">
        <is>
          <t>Telangana</t>
        </is>
      </c>
      <c r="D146" s="5" t="inlineStr">
        <is>
          <t>All India Institute of Medical Sciences, Bibinagar</t>
        </is>
      </c>
      <c r="E146" t="inlineStr">
        <is>
          <t>INI</t>
        </is>
      </c>
      <c r="G146" t="n">
        <v>2025</v>
      </c>
      <c r="H146" t="inlineStr">
        <is>
          <t>No</t>
        </is>
      </c>
      <c r="I146" s="5" t="inlineStr">
        <is>
          <t>Bibinagar</t>
        </is>
      </c>
      <c r="J146" t="inlineStr">
        <is>
          <t>A</t>
        </is>
      </c>
      <c r="K146" t="n">
        <v>100</v>
      </c>
      <c r="L146" t="inlineStr">
        <is>
          <t>India|All India Institute of Medical Sciences, Bibinagar</t>
        </is>
      </c>
    </row>
    <row r="147">
      <c r="A147" s="5" t="inlineStr">
        <is>
          <t>Domestic</t>
        </is>
      </c>
      <c r="B147" s="5" t="inlineStr">
        <is>
          <t>India</t>
        </is>
      </c>
      <c r="C147" s="5" t="inlineStr">
        <is>
          <t>Telangana</t>
        </is>
      </c>
      <c r="D147" s="5" t="inlineStr">
        <is>
          <t>Indian Institute of Technology Hyderabad</t>
        </is>
      </c>
      <c r="E147" t="inlineStr">
        <is>
          <t>INI</t>
        </is>
      </c>
      <c r="F147" t="n">
        <v>12</v>
      </c>
      <c r="G147" t="n">
        <v>2025</v>
      </c>
      <c r="H147" t="inlineStr">
        <is>
          <t>No</t>
        </is>
      </c>
      <c r="I147" s="5" t="inlineStr">
        <is>
          <t>Hyderabad</t>
        </is>
      </c>
      <c r="J147" t="inlineStr">
        <is>
          <t>A</t>
        </is>
      </c>
      <c r="K147" t="n">
        <v>100</v>
      </c>
      <c r="L147" t="inlineStr">
        <is>
          <t>India|Indian Institute of Technology Hyderabad</t>
        </is>
      </c>
    </row>
    <row r="148">
      <c r="A148" s="5" t="inlineStr">
        <is>
          <t>Domestic</t>
        </is>
      </c>
      <c r="B148" s="5" t="inlineStr">
        <is>
          <t>India</t>
        </is>
      </c>
      <c r="C148" s="5" t="inlineStr">
        <is>
          <t>Telangana</t>
        </is>
      </c>
      <c r="D148" s="5" t="inlineStr">
        <is>
          <t>National Institute of Pharmaceutical Education and Research, Hyderabad</t>
        </is>
      </c>
      <c r="E148" t="inlineStr">
        <is>
          <t>INI</t>
        </is>
      </c>
      <c r="G148" t="n">
        <v>2025</v>
      </c>
      <c r="H148" t="inlineStr">
        <is>
          <t>No</t>
        </is>
      </c>
      <c r="I148" s="5" t="inlineStr">
        <is>
          <t>Hyderabad</t>
        </is>
      </c>
      <c r="J148" t="inlineStr">
        <is>
          <t>A</t>
        </is>
      </c>
      <c r="K148" t="n">
        <v>100</v>
      </c>
      <c r="L148" t="inlineStr">
        <is>
          <t>India|National Institute of Pharmaceutical Education and Research, Hyderabad</t>
        </is>
      </c>
    </row>
    <row r="149">
      <c r="A149" s="5" t="inlineStr">
        <is>
          <t>Domestic</t>
        </is>
      </c>
      <c r="B149" s="5" t="inlineStr">
        <is>
          <t>India</t>
        </is>
      </c>
      <c r="C149" s="5" t="inlineStr">
        <is>
          <t>Telangana</t>
        </is>
      </c>
      <c r="D149" s="5" t="inlineStr">
        <is>
          <t>National Institute of Technology Warangal</t>
        </is>
      </c>
      <c r="E149" t="inlineStr">
        <is>
          <t>INI</t>
        </is>
      </c>
      <c r="G149" t="n">
        <v>2025</v>
      </c>
      <c r="H149" t="inlineStr">
        <is>
          <t>No</t>
        </is>
      </c>
      <c r="I149" s="5" t="inlineStr">
        <is>
          <t>Warangal</t>
        </is>
      </c>
      <c r="J149" t="inlineStr">
        <is>
          <t>A</t>
        </is>
      </c>
      <c r="K149" t="n">
        <v>100</v>
      </c>
      <c r="L149" t="inlineStr">
        <is>
          <t>India|National Institute of Technology Warangal</t>
        </is>
      </c>
    </row>
    <row r="150">
      <c r="A150" s="5" t="inlineStr">
        <is>
          <t>Domestic</t>
        </is>
      </c>
      <c r="B150" s="5" t="inlineStr">
        <is>
          <t>India</t>
        </is>
      </c>
      <c r="C150" s="5" t="inlineStr">
        <is>
          <t>Telangana</t>
        </is>
      </c>
      <c r="D150" s="5" t="inlineStr">
        <is>
          <t>University of Hyderabad</t>
        </is>
      </c>
      <c r="E150" t="inlineStr">
        <is>
          <t>Public IoE</t>
        </is>
      </c>
      <c r="F150" t="n">
        <v>26</v>
      </c>
      <c r="G150" t="n">
        <v>2025</v>
      </c>
      <c r="H150" t="inlineStr">
        <is>
          <t>No</t>
        </is>
      </c>
      <c r="I150" s="5" t="inlineStr">
        <is>
          <t>Hyderabad</t>
        </is>
      </c>
      <c r="J150" t="inlineStr">
        <is>
          <t>B</t>
        </is>
      </c>
      <c r="K150" t="n">
        <v>100</v>
      </c>
      <c r="L150" t="inlineStr">
        <is>
          <t>India|University of Hyderabad</t>
        </is>
      </c>
    </row>
    <row r="151">
      <c r="A151" s="5" t="inlineStr">
        <is>
          <t>Domestic</t>
        </is>
      </c>
      <c r="B151" s="5" t="inlineStr">
        <is>
          <t>India</t>
        </is>
      </c>
      <c r="C151" s="5" t="inlineStr">
        <is>
          <t>Tripura</t>
        </is>
      </c>
      <c r="D151" s="5" t="inlineStr">
        <is>
          <t>Indian Institute of Information Technology, Agartala</t>
        </is>
      </c>
      <c r="E151" t="inlineStr">
        <is>
          <t>INI</t>
        </is>
      </c>
      <c r="G151" t="n">
        <v>2025</v>
      </c>
      <c r="H151" t="inlineStr">
        <is>
          <t>No</t>
        </is>
      </c>
      <c r="I151" s="5" t="inlineStr">
        <is>
          <t>Agartala</t>
        </is>
      </c>
      <c r="J151" t="inlineStr">
        <is>
          <t>A</t>
        </is>
      </c>
      <c r="K151" t="n">
        <v>100</v>
      </c>
      <c r="L151" t="inlineStr">
        <is>
          <t>India|Indian Institute of Information Technology, Agartala</t>
        </is>
      </c>
    </row>
    <row r="152">
      <c r="A152" s="5" t="inlineStr">
        <is>
          <t>Domestic</t>
        </is>
      </c>
      <c r="B152" s="5" t="inlineStr">
        <is>
          <t>India</t>
        </is>
      </c>
      <c r="C152" s="5" t="inlineStr">
        <is>
          <t>Tripura</t>
        </is>
      </c>
      <c r="D152" s="5" t="inlineStr">
        <is>
          <t>National Institute of Technology Agartala</t>
        </is>
      </c>
      <c r="E152" t="inlineStr">
        <is>
          <t>INI</t>
        </is>
      </c>
      <c r="G152" t="n">
        <v>2025</v>
      </c>
      <c r="H152" t="inlineStr">
        <is>
          <t>No</t>
        </is>
      </c>
      <c r="I152" s="5" t="inlineStr">
        <is>
          <t>Agartala</t>
        </is>
      </c>
      <c r="J152" t="inlineStr">
        <is>
          <t>A</t>
        </is>
      </c>
      <c r="K152" t="n">
        <v>100</v>
      </c>
      <c r="L152" t="inlineStr">
        <is>
          <t>India|National Institute of Technology Agartala</t>
        </is>
      </c>
    </row>
    <row r="153">
      <c r="A153" s="5" t="inlineStr">
        <is>
          <t>Domestic</t>
        </is>
      </c>
      <c r="B153" s="5" t="inlineStr">
        <is>
          <t>India</t>
        </is>
      </c>
      <c r="C153" s="5" t="inlineStr">
        <is>
          <t>Uttar Pradesh</t>
        </is>
      </c>
      <c r="D153" s="5" t="inlineStr">
        <is>
          <t>Academy of Scientific and Innovative Research</t>
        </is>
      </c>
      <c r="E153" t="inlineStr">
        <is>
          <t>INI</t>
        </is>
      </c>
      <c r="G153" t="n">
        <v>2025</v>
      </c>
      <c r="H153" t="inlineStr">
        <is>
          <t>No</t>
        </is>
      </c>
      <c r="I153" s="5" t="inlineStr">
        <is>
          <t>Ghaziabad</t>
        </is>
      </c>
      <c r="J153" t="inlineStr">
        <is>
          <t>A</t>
        </is>
      </c>
      <c r="K153" t="n">
        <v>100</v>
      </c>
      <c r="L153" t="inlineStr">
        <is>
          <t>India|Academy of Scientific and Innovative Research</t>
        </is>
      </c>
    </row>
    <row r="154">
      <c r="A154" s="5" t="inlineStr">
        <is>
          <t>Domestic</t>
        </is>
      </c>
      <c r="B154" s="5" t="inlineStr">
        <is>
          <t>India</t>
        </is>
      </c>
      <c r="C154" s="5" t="inlineStr">
        <is>
          <t>Uttar Pradesh</t>
        </is>
      </c>
      <c r="D154" s="5" t="inlineStr">
        <is>
          <t>Aligarh Muslim University</t>
        </is>
      </c>
      <c r="E154" t="inlineStr">
        <is>
          <t>INI</t>
        </is>
      </c>
      <c r="F154" t="n">
        <v>19</v>
      </c>
      <c r="G154" t="n">
        <v>2025</v>
      </c>
      <c r="H154" t="inlineStr">
        <is>
          <t>No</t>
        </is>
      </c>
      <c r="I154" s="5" t="inlineStr">
        <is>
          <t>Aligarh</t>
        </is>
      </c>
      <c r="J154" t="inlineStr">
        <is>
          <t>A</t>
        </is>
      </c>
      <c r="K154" t="n">
        <v>100</v>
      </c>
      <c r="L154" t="inlineStr">
        <is>
          <t>India|Aligarh Muslim University</t>
        </is>
      </c>
    </row>
    <row r="155">
      <c r="A155" s="5" t="inlineStr">
        <is>
          <t>Domestic</t>
        </is>
      </c>
      <c r="B155" s="5" t="inlineStr">
        <is>
          <t>India</t>
        </is>
      </c>
      <c r="C155" s="5" t="inlineStr">
        <is>
          <t>Uttar Pradesh</t>
        </is>
      </c>
      <c r="D155" s="5" t="inlineStr">
        <is>
          <t>All India Institute of Medical Sciences, Gorakhpur</t>
        </is>
      </c>
      <c r="E155" t="inlineStr">
        <is>
          <t>INI</t>
        </is>
      </c>
      <c r="G155" t="n">
        <v>2025</v>
      </c>
      <c r="H155" t="inlineStr">
        <is>
          <t>No</t>
        </is>
      </c>
      <c r="I155" s="5" t="inlineStr">
        <is>
          <t>Gorakhpur</t>
        </is>
      </c>
      <c r="J155" t="inlineStr">
        <is>
          <t>A</t>
        </is>
      </c>
      <c r="K155" t="n">
        <v>100</v>
      </c>
      <c r="L155" t="inlineStr">
        <is>
          <t>India|All India Institute of Medical Sciences, Gorakhpur</t>
        </is>
      </c>
    </row>
    <row r="156">
      <c r="A156" s="5" t="inlineStr">
        <is>
          <t>Domestic</t>
        </is>
      </c>
      <c r="B156" s="5" t="inlineStr">
        <is>
          <t>India</t>
        </is>
      </c>
      <c r="C156" s="5" t="inlineStr">
        <is>
          <t>Uttar Pradesh</t>
        </is>
      </c>
      <c r="D156" s="5" t="inlineStr">
        <is>
          <t>All India Institute of Medical Sciences, Raebareli</t>
        </is>
      </c>
      <c r="E156" t="inlineStr">
        <is>
          <t>INI</t>
        </is>
      </c>
      <c r="G156" t="n">
        <v>2025</v>
      </c>
      <c r="H156" t="inlineStr">
        <is>
          <t>No</t>
        </is>
      </c>
      <c r="I156" s="5" t="inlineStr">
        <is>
          <t>Raebareli</t>
        </is>
      </c>
      <c r="J156" t="inlineStr">
        <is>
          <t>A</t>
        </is>
      </c>
      <c r="K156" t="n">
        <v>100</v>
      </c>
      <c r="L156" t="inlineStr">
        <is>
          <t>India|All India Institute of Medical Sciences, Raebareli</t>
        </is>
      </c>
    </row>
    <row r="157">
      <c r="A157" s="5" t="inlineStr">
        <is>
          <t>Domestic</t>
        </is>
      </c>
      <c r="B157" s="5" t="inlineStr">
        <is>
          <t>India</t>
        </is>
      </c>
      <c r="C157" s="5" t="inlineStr">
        <is>
          <t>Uttar Pradesh</t>
        </is>
      </c>
      <c r="D157" s="5" t="inlineStr">
        <is>
          <t>Banaras Hindu University</t>
        </is>
      </c>
      <c r="E157" t="inlineStr">
        <is>
          <t>INI</t>
        </is>
      </c>
      <c r="F157" t="n">
        <v>10</v>
      </c>
      <c r="G157" t="n">
        <v>2025</v>
      </c>
      <c r="H157" t="inlineStr">
        <is>
          <t>No</t>
        </is>
      </c>
      <c r="I157" s="5" t="inlineStr">
        <is>
          <t>Varanasi</t>
        </is>
      </c>
      <c r="J157" t="inlineStr">
        <is>
          <t>A</t>
        </is>
      </c>
      <c r="K157" t="n">
        <v>100</v>
      </c>
      <c r="L157" t="inlineStr">
        <is>
          <t>India|Banaras Hindu University</t>
        </is>
      </c>
    </row>
    <row r="158">
      <c r="A158" s="5" t="inlineStr">
        <is>
          <t>Domestic</t>
        </is>
      </c>
      <c r="B158" s="5" t="inlineStr">
        <is>
          <t>India</t>
        </is>
      </c>
      <c r="C158" s="5" t="inlineStr">
        <is>
          <t>Uttar Pradesh</t>
        </is>
      </c>
      <c r="D158" s="5" t="inlineStr">
        <is>
          <t>Footwear Design and Development Institute</t>
        </is>
      </c>
      <c r="E158" t="inlineStr">
        <is>
          <t>INI</t>
        </is>
      </c>
      <c r="G158" t="n">
        <v>2025</v>
      </c>
      <c r="H158" t="inlineStr">
        <is>
          <t>No</t>
        </is>
      </c>
      <c r="I158" s="5" t="inlineStr">
        <is>
          <t>Noida (multi-campus)</t>
        </is>
      </c>
      <c r="J158" t="inlineStr">
        <is>
          <t>A</t>
        </is>
      </c>
      <c r="K158" t="n">
        <v>100</v>
      </c>
      <c r="L158" t="inlineStr">
        <is>
          <t>India|Footwear Design and Development Institute</t>
        </is>
      </c>
    </row>
    <row r="159">
      <c r="A159" s="5" t="inlineStr">
        <is>
          <t>Domestic</t>
        </is>
      </c>
      <c r="B159" s="5" t="inlineStr">
        <is>
          <t>India</t>
        </is>
      </c>
      <c r="C159" s="5" t="inlineStr">
        <is>
          <t>Uttar Pradesh</t>
        </is>
      </c>
      <c r="D159" s="5" t="inlineStr">
        <is>
          <t>Indian Institute of Information Technology, Allahabad</t>
        </is>
      </c>
      <c r="E159" t="inlineStr">
        <is>
          <t>INI</t>
        </is>
      </c>
      <c r="G159" t="n">
        <v>2025</v>
      </c>
      <c r="H159" t="inlineStr">
        <is>
          <t>No</t>
        </is>
      </c>
      <c r="I159" s="5" t="inlineStr">
        <is>
          <t>Prayagraj</t>
        </is>
      </c>
      <c r="J159" t="inlineStr">
        <is>
          <t>A</t>
        </is>
      </c>
      <c r="K159" t="n">
        <v>100</v>
      </c>
      <c r="L159" t="inlineStr">
        <is>
          <t>India|Indian Institute of Information Technology, Allahabad</t>
        </is>
      </c>
    </row>
    <row r="160">
      <c r="A160" s="5" t="inlineStr">
        <is>
          <t>Domestic</t>
        </is>
      </c>
      <c r="B160" s="5" t="inlineStr">
        <is>
          <t>India</t>
        </is>
      </c>
      <c r="C160" s="5" t="inlineStr">
        <is>
          <t>Uttar Pradesh</t>
        </is>
      </c>
      <c r="D160" s="5" t="inlineStr">
        <is>
          <t>Indian Institute of Information Technology, Lucknow</t>
        </is>
      </c>
      <c r="E160" t="inlineStr">
        <is>
          <t>INI</t>
        </is>
      </c>
      <c r="G160" t="n">
        <v>2025</v>
      </c>
      <c r="H160" t="inlineStr">
        <is>
          <t>No</t>
        </is>
      </c>
      <c r="I160" s="5" t="inlineStr">
        <is>
          <t>Lucknow</t>
        </is>
      </c>
      <c r="J160" t="inlineStr">
        <is>
          <t>A</t>
        </is>
      </c>
      <c r="K160" t="n">
        <v>100</v>
      </c>
      <c r="L160" t="inlineStr">
        <is>
          <t>India|Indian Institute of Information Technology, Lucknow</t>
        </is>
      </c>
    </row>
    <row r="161">
      <c r="A161" s="5" t="inlineStr">
        <is>
          <t>Domestic</t>
        </is>
      </c>
      <c r="B161" s="5" t="inlineStr">
        <is>
          <t>India</t>
        </is>
      </c>
      <c r="C161" s="5" t="inlineStr">
        <is>
          <t>Uttar Pradesh</t>
        </is>
      </c>
      <c r="D161" s="5" t="inlineStr">
        <is>
          <t>Indian Institute of Management Lucknow</t>
        </is>
      </c>
      <c r="E161" t="inlineStr">
        <is>
          <t>INI</t>
        </is>
      </c>
      <c r="G161" t="n">
        <v>2025</v>
      </c>
      <c r="H161" t="inlineStr">
        <is>
          <t>No</t>
        </is>
      </c>
      <c r="I161" s="5" t="inlineStr">
        <is>
          <t>Lucknow</t>
        </is>
      </c>
      <c r="J161" t="inlineStr">
        <is>
          <t>A</t>
        </is>
      </c>
      <c r="K161" t="n">
        <v>100</v>
      </c>
      <c r="L161" t="inlineStr">
        <is>
          <t>India|Indian Institute of Management Lucknow</t>
        </is>
      </c>
    </row>
    <row r="162">
      <c r="A162" s="5" t="inlineStr">
        <is>
          <t>Domestic</t>
        </is>
      </c>
      <c r="B162" s="5" t="inlineStr">
        <is>
          <t>India</t>
        </is>
      </c>
      <c r="C162" s="5" t="inlineStr">
        <is>
          <t>Uttar Pradesh</t>
        </is>
      </c>
      <c r="D162" s="5" t="inlineStr">
        <is>
          <t>Indian Institute of Technology (BHU) Varanasi</t>
        </is>
      </c>
      <c r="E162" t="inlineStr">
        <is>
          <t>INI</t>
        </is>
      </c>
      <c r="F162" t="n">
        <v>31</v>
      </c>
      <c r="G162" t="n">
        <v>2025</v>
      </c>
      <c r="H162" t="inlineStr">
        <is>
          <t>No</t>
        </is>
      </c>
      <c r="I162" s="5" t="inlineStr">
        <is>
          <t>Varanasi</t>
        </is>
      </c>
      <c r="J162" t="inlineStr">
        <is>
          <t>A</t>
        </is>
      </c>
      <c r="K162" t="n">
        <v>100</v>
      </c>
      <c r="L162" t="inlineStr">
        <is>
          <t>India|Indian Institute of Technology (BHU) Varanasi</t>
        </is>
      </c>
    </row>
    <row r="163">
      <c r="A163" s="5" t="inlineStr">
        <is>
          <t>Domestic</t>
        </is>
      </c>
      <c r="B163" s="5" t="inlineStr">
        <is>
          <t>India</t>
        </is>
      </c>
      <c r="C163" s="5" t="inlineStr">
        <is>
          <t>Uttar Pradesh</t>
        </is>
      </c>
      <c r="D163" s="5" t="inlineStr">
        <is>
          <t>Indian Institute of Technology Kanpur</t>
        </is>
      </c>
      <c r="E163" t="inlineStr">
        <is>
          <t>INI</t>
        </is>
      </c>
      <c r="F163" t="n">
        <v>5</v>
      </c>
      <c r="G163" t="n">
        <v>2025</v>
      </c>
      <c r="H163" t="inlineStr">
        <is>
          <t>No</t>
        </is>
      </c>
      <c r="I163" s="5" t="inlineStr">
        <is>
          <t>Kanpur</t>
        </is>
      </c>
      <c r="J163" t="inlineStr">
        <is>
          <t>A</t>
        </is>
      </c>
      <c r="K163" t="n">
        <v>100</v>
      </c>
      <c r="L163" t="inlineStr">
        <is>
          <t>India|Indian Institute of Technology Kanpur</t>
        </is>
      </c>
    </row>
    <row r="164">
      <c r="A164" s="5" t="inlineStr">
        <is>
          <t>Domestic</t>
        </is>
      </c>
      <c r="B164" s="5" t="inlineStr">
        <is>
          <t>India</t>
        </is>
      </c>
      <c r="C164" s="5" t="inlineStr">
        <is>
          <t>Uttar Pradesh</t>
        </is>
      </c>
      <c r="D164" s="5" t="inlineStr">
        <is>
          <t>Motilal Nehru National Institute of Technology Allahabad</t>
        </is>
      </c>
      <c r="E164" t="inlineStr">
        <is>
          <t>INI</t>
        </is>
      </c>
      <c r="G164" t="n">
        <v>2025</v>
      </c>
      <c r="H164" t="inlineStr">
        <is>
          <t>No</t>
        </is>
      </c>
      <c r="I164" s="5" t="inlineStr">
        <is>
          <t>Prayagraj</t>
        </is>
      </c>
      <c r="J164" t="inlineStr">
        <is>
          <t>A</t>
        </is>
      </c>
      <c r="K164" t="n">
        <v>100</v>
      </c>
      <c r="L164" t="inlineStr">
        <is>
          <t>India|Motilal Nehru National Institute of Technology Allahabad</t>
        </is>
      </c>
    </row>
    <row r="165">
      <c r="A165" s="5" t="inlineStr">
        <is>
          <t>Domestic</t>
        </is>
      </c>
      <c r="B165" s="5" t="inlineStr">
        <is>
          <t>India</t>
        </is>
      </c>
      <c r="C165" s="5" t="inlineStr">
        <is>
          <t>Uttar Pradesh</t>
        </is>
      </c>
      <c r="D165" s="5" t="inlineStr">
        <is>
          <t>National Institute of Pharmaceutical Education and Research, Raebareli</t>
        </is>
      </c>
      <c r="E165" t="inlineStr">
        <is>
          <t>INI</t>
        </is>
      </c>
      <c r="G165" t="n">
        <v>2025</v>
      </c>
      <c r="H165" t="inlineStr">
        <is>
          <t>No</t>
        </is>
      </c>
      <c r="I165" s="5" t="inlineStr">
        <is>
          <t>Raebareli</t>
        </is>
      </c>
      <c r="J165" t="inlineStr">
        <is>
          <t>A</t>
        </is>
      </c>
      <c r="K165" t="n">
        <v>100</v>
      </c>
      <c r="L165" t="inlineStr">
        <is>
          <t>India|National Institute of Pharmaceutical Education and Research, Raebareli</t>
        </is>
      </c>
    </row>
    <row r="166">
      <c r="A166" s="5" t="inlineStr">
        <is>
          <t>Domestic</t>
        </is>
      </c>
      <c r="B166" s="5" t="inlineStr">
        <is>
          <t>India</t>
        </is>
      </c>
      <c r="C166" s="5" t="inlineStr">
        <is>
          <t>Uttar Pradesh</t>
        </is>
      </c>
      <c r="D166" s="5" t="inlineStr">
        <is>
          <t>Rajiv Gandhi Institute of Petroleum Technology</t>
        </is>
      </c>
      <c r="E166" t="inlineStr">
        <is>
          <t>INI</t>
        </is>
      </c>
      <c r="G166" t="n">
        <v>2025</v>
      </c>
      <c r="H166" t="inlineStr">
        <is>
          <t>No</t>
        </is>
      </c>
      <c r="I166" s="5" t="inlineStr">
        <is>
          <t>Jais, Amethi</t>
        </is>
      </c>
      <c r="J166" t="inlineStr">
        <is>
          <t>A</t>
        </is>
      </c>
      <c r="K166" t="n">
        <v>100</v>
      </c>
      <c r="L166" t="inlineStr">
        <is>
          <t>India|Rajiv Gandhi Institute of Petroleum Technology</t>
        </is>
      </c>
    </row>
    <row r="167">
      <c r="A167" s="5" t="inlineStr">
        <is>
          <t>Domestic</t>
        </is>
      </c>
      <c r="B167" s="5" t="inlineStr">
        <is>
          <t>India</t>
        </is>
      </c>
      <c r="C167" s="5" t="inlineStr">
        <is>
          <t>Uttar Pradesh</t>
        </is>
      </c>
      <c r="D167" s="5" t="inlineStr">
        <is>
          <t>Rani Lakshmi Bai Central Agricultural University</t>
        </is>
      </c>
      <c r="E167" t="inlineStr">
        <is>
          <t>INI</t>
        </is>
      </c>
      <c r="G167" t="n">
        <v>2025</v>
      </c>
      <c r="H167" t="inlineStr">
        <is>
          <t>No</t>
        </is>
      </c>
      <c r="I167" s="5" t="inlineStr">
        <is>
          <t>Jhansi</t>
        </is>
      </c>
      <c r="J167" t="inlineStr">
        <is>
          <t>A</t>
        </is>
      </c>
      <c r="K167" t="n">
        <v>100</v>
      </c>
      <c r="L167" t="inlineStr">
        <is>
          <t>India|Rani Lakshmi Bai Central Agricultural University</t>
        </is>
      </c>
    </row>
    <row r="168">
      <c r="A168" s="5" t="inlineStr">
        <is>
          <t>Domestic</t>
        </is>
      </c>
      <c r="B168" s="5" t="inlineStr">
        <is>
          <t>India</t>
        </is>
      </c>
      <c r="C168" s="5" t="inlineStr">
        <is>
          <t>Uttar Pradesh</t>
        </is>
      </c>
      <c r="D168" s="5" t="inlineStr">
        <is>
          <t>University of Allahabad</t>
        </is>
      </c>
      <c r="E168" t="inlineStr">
        <is>
          <t>INI</t>
        </is>
      </c>
      <c r="G168" t="n">
        <v>2025</v>
      </c>
      <c r="H168" t="inlineStr">
        <is>
          <t>No</t>
        </is>
      </c>
      <c r="I168" s="5" t="inlineStr">
        <is>
          <t>Prayagraj</t>
        </is>
      </c>
      <c r="J168" t="inlineStr">
        <is>
          <t>A</t>
        </is>
      </c>
      <c r="K168" t="n">
        <v>100</v>
      </c>
      <c r="L168" t="inlineStr">
        <is>
          <t>India|University of Allahabad</t>
        </is>
      </c>
    </row>
    <row r="169">
      <c r="A169" s="5" t="inlineStr">
        <is>
          <t>Domestic</t>
        </is>
      </c>
      <c r="B169" s="5" t="inlineStr">
        <is>
          <t>India</t>
        </is>
      </c>
      <c r="C169" s="5" t="inlineStr">
        <is>
          <t>Uttarakhand</t>
        </is>
      </c>
      <c r="D169" s="5" t="inlineStr">
        <is>
          <t>All India Institute of Medical Sciences, Rishikesh</t>
        </is>
      </c>
      <c r="E169" t="inlineStr">
        <is>
          <t>INI</t>
        </is>
      </c>
      <c r="G169" t="n">
        <v>2025</v>
      </c>
      <c r="H169" t="inlineStr">
        <is>
          <t>No</t>
        </is>
      </c>
      <c r="I169" s="5" t="inlineStr">
        <is>
          <t>Rishikesh</t>
        </is>
      </c>
      <c r="J169" t="inlineStr">
        <is>
          <t>A</t>
        </is>
      </c>
      <c r="K169" t="n">
        <v>100</v>
      </c>
      <c r="L169" t="inlineStr">
        <is>
          <t>India|All India Institute of Medical Sciences, Rishikesh</t>
        </is>
      </c>
    </row>
    <row r="170">
      <c r="A170" s="5" t="inlineStr">
        <is>
          <t>Domestic</t>
        </is>
      </c>
      <c r="B170" s="5" t="inlineStr">
        <is>
          <t>India</t>
        </is>
      </c>
      <c r="C170" s="5" t="inlineStr">
        <is>
          <t>Uttarakhand</t>
        </is>
      </c>
      <c r="D170" s="5" t="inlineStr">
        <is>
          <t>Indian Institute of Management Kashipur</t>
        </is>
      </c>
      <c r="E170" t="inlineStr">
        <is>
          <t>INI</t>
        </is>
      </c>
      <c r="G170" t="n">
        <v>2025</v>
      </c>
      <c r="H170" t="inlineStr">
        <is>
          <t>No</t>
        </is>
      </c>
      <c r="I170" s="5" t="inlineStr">
        <is>
          <t>Kashipur</t>
        </is>
      </c>
      <c r="J170" t="inlineStr">
        <is>
          <t>A</t>
        </is>
      </c>
      <c r="K170" t="n">
        <v>100</v>
      </c>
      <c r="L170" t="inlineStr">
        <is>
          <t>India|Indian Institute of Management Kashipur</t>
        </is>
      </c>
    </row>
    <row r="171">
      <c r="A171" s="5" t="inlineStr">
        <is>
          <t>Domestic</t>
        </is>
      </c>
      <c r="B171" s="5" t="inlineStr">
        <is>
          <t>India</t>
        </is>
      </c>
      <c r="C171" s="5" t="inlineStr">
        <is>
          <t>Uttarakhand</t>
        </is>
      </c>
      <c r="D171" s="5" t="inlineStr">
        <is>
          <t>Indian Institute of Technology Roorkee</t>
        </is>
      </c>
      <c r="E171" t="inlineStr">
        <is>
          <t>INI</t>
        </is>
      </c>
      <c r="F171" t="n">
        <v>7</v>
      </c>
      <c r="G171" t="n">
        <v>2025</v>
      </c>
      <c r="H171" t="inlineStr">
        <is>
          <t>No</t>
        </is>
      </c>
      <c r="I171" s="5" t="inlineStr">
        <is>
          <t>Roorkee</t>
        </is>
      </c>
      <c r="J171" t="inlineStr">
        <is>
          <t>A</t>
        </is>
      </c>
      <c r="K171" t="n">
        <v>100</v>
      </c>
      <c r="L171" t="inlineStr">
        <is>
          <t>India|Indian Institute of Technology Roorkee</t>
        </is>
      </c>
    </row>
    <row r="172">
      <c r="A172" s="5" t="inlineStr">
        <is>
          <t>Domestic</t>
        </is>
      </c>
      <c r="B172" s="5" t="inlineStr">
        <is>
          <t>India</t>
        </is>
      </c>
      <c r="C172" s="5" t="inlineStr">
        <is>
          <t>Uttarakhand</t>
        </is>
      </c>
      <c r="D172" s="5" t="inlineStr">
        <is>
          <t>National Institute of Technology Uttarakhand</t>
        </is>
      </c>
      <c r="E172" t="inlineStr">
        <is>
          <t>INI</t>
        </is>
      </c>
      <c r="G172" t="n">
        <v>2025</v>
      </c>
      <c r="H172" t="inlineStr">
        <is>
          <t>No</t>
        </is>
      </c>
      <c r="I172" s="5" t="inlineStr">
        <is>
          <t>Srinagar (Garhwal)</t>
        </is>
      </c>
      <c r="J172" t="inlineStr">
        <is>
          <t>A</t>
        </is>
      </c>
      <c r="K172" t="n">
        <v>100</v>
      </c>
      <c r="L172" t="inlineStr">
        <is>
          <t>India|National Institute of Technology Uttarakhand</t>
        </is>
      </c>
    </row>
    <row r="173">
      <c r="A173" s="5" t="inlineStr">
        <is>
          <t>Domestic</t>
        </is>
      </c>
      <c r="B173" s="5" t="inlineStr">
        <is>
          <t>India</t>
        </is>
      </c>
      <c r="C173" s="5" t="inlineStr">
        <is>
          <t>West Bengal</t>
        </is>
      </c>
      <c r="D173" s="5" t="inlineStr">
        <is>
          <t>All India Institute of Medical Sciences, Kalyani</t>
        </is>
      </c>
      <c r="E173" t="inlineStr">
        <is>
          <t>INI</t>
        </is>
      </c>
      <c r="G173" t="n">
        <v>2025</v>
      </c>
      <c r="H173" t="inlineStr">
        <is>
          <t>No</t>
        </is>
      </c>
      <c r="I173" s="5" t="inlineStr">
        <is>
          <t>Kalyani</t>
        </is>
      </c>
      <c r="J173" t="inlineStr">
        <is>
          <t>A</t>
        </is>
      </c>
      <c r="K173" t="n">
        <v>100</v>
      </c>
      <c r="L173" t="inlineStr">
        <is>
          <t>India|All India Institute of Medical Sciences, Kalyani</t>
        </is>
      </c>
    </row>
    <row r="174">
      <c r="A174" s="5" t="inlineStr">
        <is>
          <t>Domestic</t>
        </is>
      </c>
      <c r="B174" s="5" t="inlineStr">
        <is>
          <t>India</t>
        </is>
      </c>
      <c r="C174" s="5" t="inlineStr">
        <is>
          <t>West Bengal</t>
        </is>
      </c>
      <c r="D174" s="5" t="inlineStr">
        <is>
          <t>Indian Institute of Engineering Science and Technology, Shibpur</t>
        </is>
      </c>
      <c r="E174" t="inlineStr">
        <is>
          <t>INI</t>
        </is>
      </c>
      <c r="G174" t="n">
        <v>2025</v>
      </c>
      <c r="H174" t="inlineStr">
        <is>
          <t>No</t>
        </is>
      </c>
      <c r="I174" s="5" t="inlineStr">
        <is>
          <t>Howrah</t>
        </is>
      </c>
      <c r="J174" t="inlineStr">
        <is>
          <t>A</t>
        </is>
      </c>
      <c r="K174" t="n">
        <v>100</v>
      </c>
      <c r="L174" t="inlineStr">
        <is>
          <t>India|Indian Institute of Engineering Science and Technology, Shibpur</t>
        </is>
      </c>
    </row>
    <row r="175">
      <c r="A175" s="5" t="inlineStr">
        <is>
          <t>Domestic</t>
        </is>
      </c>
      <c r="B175" s="5" t="inlineStr">
        <is>
          <t>India</t>
        </is>
      </c>
      <c r="C175" s="5" t="inlineStr">
        <is>
          <t>West Bengal</t>
        </is>
      </c>
      <c r="D175" s="5" t="inlineStr">
        <is>
          <t>Indian Institute of Information Technology, Kalyani</t>
        </is>
      </c>
      <c r="E175" t="inlineStr">
        <is>
          <t>INI</t>
        </is>
      </c>
      <c r="G175" t="n">
        <v>2025</v>
      </c>
      <c r="H175" t="inlineStr">
        <is>
          <t>No</t>
        </is>
      </c>
      <c r="I175" s="5" t="inlineStr">
        <is>
          <t>Kalyani</t>
        </is>
      </c>
      <c r="J175" t="inlineStr">
        <is>
          <t>A</t>
        </is>
      </c>
      <c r="K175" t="n">
        <v>100</v>
      </c>
      <c r="L175" t="inlineStr">
        <is>
          <t>India|Indian Institute of Information Technology, Kalyani</t>
        </is>
      </c>
    </row>
    <row r="176">
      <c r="A176" s="5" t="inlineStr">
        <is>
          <t>Domestic</t>
        </is>
      </c>
      <c r="B176" s="5" t="inlineStr">
        <is>
          <t>India</t>
        </is>
      </c>
      <c r="C176" s="5" t="inlineStr">
        <is>
          <t>West Bengal</t>
        </is>
      </c>
      <c r="D176" s="5" t="inlineStr">
        <is>
          <t>Indian Institute of Management Calcutta</t>
        </is>
      </c>
      <c r="E176" t="inlineStr">
        <is>
          <t>INI</t>
        </is>
      </c>
      <c r="G176" t="n">
        <v>2025</v>
      </c>
      <c r="H176" t="inlineStr">
        <is>
          <t>No</t>
        </is>
      </c>
      <c r="I176" s="5" t="inlineStr">
        <is>
          <t>Kolkata</t>
        </is>
      </c>
      <c r="J176" t="inlineStr">
        <is>
          <t>A</t>
        </is>
      </c>
      <c r="K176" t="n">
        <v>100</v>
      </c>
      <c r="L176" t="inlineStr">
        <is>
          <t>India|Indian Institute of Management Calcutta</t>
        </is>
      </c>
    </row>
    <row r="177">
      <c r="A177" s="5" t="inlineStr">
        <is>
          <t>Domestic</t>
        </is>
      </c>
      <c r="B177" s="5" t="inlineStr">
        <is>
          <t>India</t>
        </is>
      </c>
      <c r="C177" s="5" t="inlineStr">
        <is>
          <t>West Bengal</t>
        </is>
      </c>
      <c r="D177" s="5" t="inlineStr">
        <is>
          <t>Indian Institute of Science Education and Research Kolkata</t>
        </is>
      </c>
      <c r="E177" t="inlineStr">
        <is>
          <t>INI</t>
        </is>
      </c>
      <c r="G177" t="n">
        <v>2025</v>
      </c>
      <c r="H177" t="inlineStr">
        <is>
          <t>No</t>
        </is>
      </c>
      <c r="I177" s="5" t="inlineStr">
        <is>
          <t>Kolkata</t>
        </is>
      </c>
      <c r="J177" t="inlineStr">
        <is>
          <t>A</t>
        </is>
      </c>
      <c r="K177" t="n">
        <v>100</v>
      </c>
      <c r="L177" t="inlineStr">
        <is>
          <t>India|Indian Institute of Science Education and Research Kolkata</t>
        </is>
      </c>
    </row>
    <row r="178">
      <c r="A178" s="5" t="inlineStr">
        <is>
          <t>Domestic</t>
        </is>
      </c>
      <c r="B178" s="5" t="inlineStr">
        <is>
          <t>India</t>
        </is>
      </c>
      <c r="C178" s="5" t="inlineStr">
        <is>
          <t>West Bengal</t>
        </is>
      </c>
      <c r="D178" s="5" t="inlineStr">
        <is>
          <t>Indian Institute of Technology Kharagpur</t>
        </is>
      </c>
      <c r="E178" t="inlineStr">
        <is>
          <t>INI</t>
        </is>
      </c>
      <c r="F178" t="n">
        <v>6</v>
      </c>
      <c r="G178" t="n">
        <v>2025</v>
      </c>
      <c r="H178" t="inlineStr">
        <is>
          <t>No</t>
        </is>
      </c>
      <c r="I178" s="5" t="inlineStr">
        <is>
          <t>Kharagpur</t>
        </is>
      </c>
      <c r="J178" t="inlineStr">
        <is>
          <t>A</t>
        </is>
      </c>
      <c r="K178" t="n">
        <v>100</v>
      </c>
      <c r="L178" t="inlineStr">
        <is>
          <t>India|Indian Institute of Technology Kharagpur</t>
        </is>
      </c>
    </row>
    <row r="179">
      <c r="A179" s="5" t="inlineStr">
        <is>
          <t>Domestic</t>
        </is>
      </c>
      <c r="B179" s="5" t="inlineStr">
        <is>
          <t>India</t>
        </is>
      </c>
      <c r="C179" s="5" t="inlineStr">
        <is>
          <t>West Bengal</t>
        </is>
      </c>
      <c r="D179" s="5" t="inlineStr">
        <is>
          <t>Indian Statistical Institute</t>
        </is>
      </c>
      <c r="E179" t="inlineStr">
        <is>
          <t>INI</t>
        </is>
      </c>
      <c r="G179" t="n">
        <v>2025</v>
      </c>
      <c r="H179" t="inlineStr">
        <is>
          <t>No</t>
        </is>
      </c>
      <c r="I179" s="5" t="inlineStr">
        <is>
          <t>Kolkata</t>
        </is>
      </c>
      <c r="J179" t="inlineStr">
        <is>
          <t>A</t>
        </is>
      </c>
      <c r="K179" t="n">
        <v>100</v>
      </c>
      <c r="L179" t="inlineStr">
        <is>
          <t>India|Indian Statistical Institute</t>
        </is>
      </c>
    </row>
    <row r="180">
      <c r="A180" s="5" t="inlineStr">
        <is>
          <t>Domestic</t>
        </is>
      </c>
      <c r="B180" s="5" t="inlineStr">
        <is>
          <t>India</t>
        </is>
      </c>
      <c r="C180" s="5" t="inlineStr">
        <is>
          <t>West Bengal</t>
        </is>
      </c>
      <c r="D180" s="5" t="inlineStr">
        <is>
          <t>Jadavpur University</t>
        </is>
      </c>
      <c r="E180" t="inlineStr">
        <is>
          <t>NIRF Top 50</t>
        </is>
      </c>
      <c r="F180" t="n">
        <v>18</v>
      </c>
      <c r="G180" t="n">
        <v>2025</v>
      </c>
      <c r="H180" t="inlineStr">
        <is>
          <t>No</t>
        </is>
      </c>
      <c r="I180" s="5" t="inlineStr">
        <is>
          <t>Kolkata</t>
        </is>
      </c>
      <c r="J180" t="inlineStr">
        <is>
          <t>C</t>
        </is>
      </c>
      <c r="K180" t="n">
        <v>90</v>
      </c>
      <c r="L180" t="inlineStr">
        <is>
          <t>India|Jadavpur University</t>
        </is>
      </c>
    </row>
    <row r="181">
      <c r="A181" s="5" t="inlineStr">
        <is>
          <t>Domestic</t>
        </is>
      </c>
      <c r="B181" s="5" t="inlineStr">
        <is>
          <t>India</t>
        </is>
      </c>
      <c r="C181" s="5" t="inlineStr">
        <is>
          <t>West Bengal</t>
        </is>
      </c>
      <c r="D181" s="5" t="inlineStr">
        <is>
          <t>National Institute of Pharmaceutical Education and Research, Kolkata</t>
        </is>
      </c>
      <c r="E181" t="inlineStr">
        <is>
          <t>INI</t>
        </is>
      </c>
      <c r="G181" t="n">
        <v>2025</v>
      </c>
      <c r="H181" t="inlineStr">
        <is>
          <t>No</t>
        </is>
      </c>
      <c r="I181" s="5" t="inlineStr">
        <is>
          <t>Kolkata</t>
        </is>
      </c>
      <c r="J181" t="inlineStr">
        <is>
          <t>A</t>
        </is>
      </c>
      <c r="K181" t="n">
        <v>100</v>
      </c>
      <c r="L181" t="inlineStr">
        <is>
          <t>India|National Institute of Pharmaceutical Education and Research, Kolkata</t>
        </is>
      </c>
    </row>
    <row r="182">
      <c r="A182" s="5" t="inlineStr">
        <is>
          <t>Domestic</t>
        </is>
      </c>
      <c r="B182" s="5" t="inlineStr">
        <is>
          <t>India</t>
        </is>
      </c>
      <c r="C182" s="5" t="inlineStr">
        <is>
          <t>West Bengal</t>
        </is>
      </c>
      <c r="D182" s="5" t="inlineStr">
        <is>
          <t>National Institute of Technology Durgapur</t>
        </is>
      </c>
      <c r="E182" t="inlineStr">
        <is>
          <t>INI</t>
        </is>
      </c>
      <c r="G182" t="n">
        <v>2025</v>
      </c>
      <c r="H182" t="inlineStr">
        <is>
          <t>No</t>
        </is>
      </c>
      <c r="I182" s="5" t="inlineStr">
        <is>
          <t>Durgapur</t>
        </is>
      </c>
      <c r="J182" t="inlineStr">
        <is>
          <t>A</t>
        </is>
      </c>
      <c r="K182" t="n">
        <v>100</v>
      </c>
      <c r="L182" t="inlineStr">
        <is>
          <t>India|National Institute of Technology Durgapur</t>
        </is>
      </c>
    </row>
    <row r="183">
      <c r="A183" s="5" t="inlineStr">
        <is>
          <t>Domestic</t>
        </is>
      </c>
      <c r="B183" s="5" t="inlineStr">
        <is>
          <t>India</t>
        </is>
      </c>
      <c r="C183" s="5" t="inlineStr">
        <is>
          <t>West Bengal</t>
        </is>
      </c>
      <c r="D183" s="5" t="inlineStr">
        <is>
          <t>University of Calcutta</t>
        </is>
      </c>
      <c r="E183" t="inlineStr">
        <is>
          <t>NIRF Top 50</t>
        </is>
      </c>
      <c r="F183" t="n">
        <v>47</v>
      </c>
      <c r="G183" t="n">
        <v>2025</v>
      </c>
      <c r="H183" t="inlineStr">
        <is>
          <t>No</t>
        </is>
      </c>
      <c r="I183" s="5" t="inlineStr">
        <is>
          <t>Kolkata</t>
        </is>
      </c>
      <c r="J183" t="inlineStr">
        <is>
          <t>C</t>
        </is>
      </c>
      <c r="K183" t="n">
        <v>75</v>
      </c>
      <c r="L183" t="inlineStr">
        <is>
          <t>India|University of Calcutta</t>
        </is>
      </c>
    </row>
    <row r="184">
      <c r="A184" s="5" t="inlineStr">
        <is>
          <t>Domestic</t>
        </is>
      </c>
      <c r="B184" s="5" t="inlineStr">
        <is>
          <t>India</t>
        </is>
      </c>
      <c r="C184" s="5" t="inlineStr">
        <is>
          <t>West Bengal</t>
        </is>
      </c>
      <c r="D184" s="5" t="inlineStr">
        <is>
          <t>Visva-Bharati</t>
        </is>
      </c>
      <c r="E184" t="inlineStr">
        <is>
          <t>INI</t>
        </is>
      </c>
      <c r="G184" t="n">
        <v>2025</v>
      </c>
      <c r="H184" t="inlineStr">
        <is>
          <t>No</t>
        </is>
      </c>
      <c r="I184" s="5" t="inlineStr">
        <is>
          <t>Santiniketan</t>
        </is>
      </c>
      <c r="J184" t="inlineStr">
        <is>
          <t>A</t>
        </is>
      </c>
      <c r="K184" t="n">
        <v>100</v>
      </c>
      <c r="L184" t="inlineStr">
        <is>
          <t>India|Visva-Bharati</t>
        </is>
      </c>
    </row>
    <row r="185">
      <c r="A185" s="5" t="inlineStr">
        <is>
          <t>International</t>
        </is>
      </c>
      <c r="B185" s="5" t="inlineStr">
        <is>
          <t>Argentina</t>
        </is>
      </c>
      <c r="C185" s="5" t="inlineStr"/>
      <c r="D185" s="5" t="inlineStr">
        <is>
          <t>Universidad de Buenos Aires (UBA)</t>
        </is>
      </c>
      <c r="E185" t="inlineStr">
        <is>
          <t>QS Top 100</t>
        </is>
      </c>
      <c r="F185" t="n">
        <v>84</v>
      </c>
      <c r="G185" t="n">
        <v>2027</v>
      </c>
      <c r="H185" t="inlineStr">
        <is>
          <t>No</t>
        </is>
      </c>
      <c r="I185" t="inlineStr">
        <is>
          <t>Buenos Aires</t>
        </is>
      </c>
      <c r="J185" t="inlineStr">
        <is>
          <t>QS</t>
        </is>
      </c>
      <c r="K185" t="n">
        <v>100</v>
      </c>
      <c r="L185" t="inlineStr">
        <is>
          <t>Argentina|Universidad de Buenos Aires (UBA)</t>
        </is>
      </c>
    </row>
    <row r="186">
      <c r="A186" s="5" t="inlineStr">
        <is>
          <t>International</t>
        </is>
      </c>
      <c r="B186" s="5" t="inlineStr">
        <is>
          <t>Australia</t>
        </is>
      </c>
      <c r="C186" s="5" t="inlineStr"/>
      <c r="D186" s="5" t="inlineStr">
        <is>
          <t>Adelaide University</t>
        </is>
      </c>
      <c r="E186" t="inlineStr">
        <is>
          <t>QS Top 100</t>
        </is>
      </c>
      <c r="F186" t="n">
        <v>79</v>
      </c>
      <c r="G186" t="n">
        <v>2027</v>
      </c>
      <c r="H186" t="inlineStr">
        <is>
          <t>No</t>
        </is>
      </c>
      <c r="I186" t="inlineStr">
        <is>
          <t>Adelaide</t>
        </is>
      </c>
      <c r="J186" t="inlineStr">
        <is>
          <t>QS</t>
        </is>
      </c>
      <c r="K186" t="n">
        <v>100</v>
      </c>
      <c r="L186" t="inlineStr">
        <is>
          <t>Australia|Adelaide University</t>
        </is>
      </c>
    </row>
    <row r="187">
      <c r="A187" s="5" t="inlineStr">
        <is>
          <t>International</t>
        </is>
      </c>
      <c r="B187" s="5" t="inlineStr">
        <is>
          <t>Australia</t>
        </is>
      </c>
      <c r="C187" s="5" t="inlineStr"/>
      <c r="D187" s="5" t="inlineStr">
        <is>
          <t>Australian National University (ANU)</t>
        </is>
      </c>
      <c r="E187" t="inlineStr">
        <is>
          <t>QS Top 100</t>
        </is>
      </c>
      <c r="F187" t="n">
        <v>29</v>
      </c>
      <c r="G187" t="n">
        <v>2027</v>
      </c>
      <c r="H187" t="inlineStr">
        <is>
          <t>No</t>
        </is>
      </c>
      <c r="I187" t="inlineStr">
        <is>
          <t>Canberra</t>
        </is>
      </c>
      <c r="J187" t="inlineStr">
        <is>
          <t>QS</t>
        </is>
      </c>
      <c r="K187" t="n">
        <v>100</v>
      </c>
      <c r="L187" t="inlineStr">
        <is>
          <t>Australia|Australian National University (ANU)</t>
        </is>
      </c>
    </row>
    <row r="188">
      <c r="A188" s="5" t="inlineStr">
        <is>
          <t>International</t>
        </is>
      </c>
      <c r="B188" s="5" t="inlineStr">
        <is>
          <t>Australia</t>
        </is>
      </c>
      <c r="C188" s="5" t="inlineStr"/>
      <c r="D188" s="5" t="inlineStr">
        <is>
          <t>Monash University</t>
        </is>
      </c>
      <c r="E188" t="inlineStr">
        <is>
          <t>QS Top 100</t>
        </is>
      </c>
      <c r="F188" t="n">
        <v>31</v>
      </c>
      <c r="G188" t="n">
        <v>2027</v>
      </c>
      <c r="H188" t="inlineStr">
        <is>
          <t>No</t>
        </is>
      </c>
      <c r="I188" t="inlineStr">
        <is>
          <t>Melbourne</t>
        </is>
      </c>
      <c r="J188" t="inlineStr">
        <is>
          <t>QS</t>
        </is>
      </c>
      <c r="K188" t="n">
        <v>100</v>
      </c>
      <c r="L188" t="inlineStr">
        <is>
          <t>Australia|Monash University</t>
        </is>
      </c>
    </row>
    <row r="189">
      <c r="A189" s="5" t="inlineStr">
        <is>
          <t>International</t>
        </is>
      </c>
      <c r="B189" s="5" t="inlineStr">
        <is>
          <t>Australia</t>
        </is>
      </c>
      <c r="C189" s="5" t="inlineStr"/>
      <c r="D189" s="5" t="inlineStr">
        <is>
          <t>The University of Melbourne</t>
        </is>
      </c>
      <c r="E189" t="inlineStr">
        <is>
          <t>QS Top 100</t>
        </is>
      </c>
      <c r="F189" t="n">
        <v>22</v>
      </c>
      <c r="G189" t="n">
        <v>2027</v>
      </c>
      <c r="H189" t="inlineStr">
        <is>
          <t>No</t>
        </is>
      </c>
      <c r="I189" t="inlineStr">
        <is>
          <t>Melbourne</t>
        </is>
      </c>
      <c r="J189" t="inlineStr">
        <is>
          <t>QS</t>
        </is>
      </c>
      <c r="K189" t="n">
        <v>100</v>
      </c>
      <c r="L189" t="inlineStr">
        <is>
          <t>Australia|The University of Melbourne</t>
        </is>
      </c>
    </row>
    <row r="190">
      <c r="A190" s="5" t="inlineStr">
        <is>
          <t>International</t>
        </is>
      </c>
      <c r="B190" s="5" t="inlineStr">
        <is>
          <t>Australia</t>
        </is>
      </c>
      <c r="C190" s="5" t="inlineStr"/>
      <c r="D190" s="5" t="inlineStr">
        <is>
          <t>The University of New South Wales (UNSW Sydney)</t>
        </is>
      </c>
      <c r="E190" t="inlineStr">
        <is>
          <t>QS Top 100</t>
        </is>
      </c>
      <c r="F190" t="n">
        <v>19</v>
      </c>
      <c r="G190" t="n">
        <v>2027</v>
      </c>
      <c r="H190" t="inlineStr">
        <is>
          <t>No</t>
        </is>
      </c>
      <c r="I190" t="inlineStr">
        <is>
          <t>Sydney</t>
        </is>
      </c>
      <c r="J190" t="inlineStr">
        <is>
          <t>QS</t>
        </is>
      </c>
      <c r="K190" t="n">
        <v>100</v>
      </c>
      <c r="L190" t="inlineStr">
        <is>
          <t>Australia|The University of New South Wales (UNSW Sydney)</t>
        </is>
      </c>
    </row>
    <row r="191">
      <c r="A191" s="5" t="inlineStr">
        <is>
          <t>International</t>
        </is>
      </c>
      <c r="B191" s="5" t="inlineStr">
        <is>
          <t>Australia</t>
        </is>
      </c>
      <c r="C191" s="5" t="inlineStr"/>
      <c r="D191" s="5" t="inlineStr">
        <is>
          <t>The University of Queensland</t>
        </is>
      </c>
      <c r="E191" t="inlineStr">
        <is>
          <t>QS Top 100</t>
        </is>
      </c>
      <c r="F191" t="n">
        <v>40</v>
      </c>
      <c r="G191" t="n">
        <v>2027</v>
      </c>
      <c r="H191" t="inlineStr">
        <is>
          <t>No</t>
        </is>
      </c>
      <c r="I191" t="inlineStr">
        <is>
          <t>Brisbane</t>
        </is>
      </c>
      <c r="J191" t="inlineStr">
        <is>
          <t>QS</t>
        </is>
      </c>
      <c r="K191" t="n">
        <v>100</v>
      </c>
      <c r="L191" t="inlineStr">
        <is>
          <t>Australia|The University of Queensland</t>
        </is>
      </c>
    </row>
    <row r="192">
      <c r="A192" s="5" t="inlineStr">
        <is>
          <t>International</t>
        </is>
      </c>
      <c r="B192" s="5" t="inlineStr">
        <is>
          <t>Australia</t>
        </is>
      </c>
      <c r="C192" s="5" t="inlineStr"/>
      <c r="D192" s="5" t="inlineStr">
        <is>
          <t>The University of Sydney</t>
        </is>
      </c>
      <c r="E192" t="inlineStr">
        <is>
          <t>QS Top 100</t>
        </is>
      </c>
      <c r="F192" t="n">
        <v>28</v>
      </c>
      <c r="G192" t="n">
        <v>2027</v>
      </c>
      <c r="H192" t="inlineStr">
        <is>
          <t>No</t>
        </is>
      </c>
      <c r="I192" t="inlineStr">
        <is>
          <t>Sydney</t>
        </is>
      </c>
      <c r="J192" t="inlineStr">
        <is>
          <t>QS</t>
        </is>
      </c>
      <c r="K192" t="n">
        <v>100</v>
      </c>
      <c r="L192" t="inlineStr">
        <is>
          <t>Australia|The University of Sydney</t>
        </is>
      </c>
    </row>
    <row r="193">
      <c r="A193" s="5" t="inlineStr">
        <is>
          <t>International</t>
        </is>
      </c>
      <c r="B193" s="5" t="inlineStr">
        <is>
          <t>Australia</t>
        </is>
      </c>
      <c r="C193" s="5" t="inlineStr"/>
      <c r="D193" s="5" t="inlineStr">
        <is>
          <t>The University of Western Australia</t>
        </is>
      </c>
      <c r="E193" t="inlineStr">
        <is>
          <t>QS Top 100</t>
        </is>
      </c>
      <c r="F193" t="n">
        <v>77</v>
      </c>
      <c r="G193" t="n">
        <v>2027</v>
      </c>
      <c r="H193" t="inlineStr">
        <is>
          <t>No</t>
        </is>
      </c>
      <c r="I193" t="inlineStr">
        <is>
          <t>Perth</t>
        </is>
      </c>
      <c r="J193" t="inlineStr">
        <is>
          <t>QS</t>
        </is>
      </c>
      <c r="K193" t="n">
        <v>100</v>
      </c>
      <c r="L193" t="inlineStr">
        <is>
          <t>Australia|The University of Western Australia</t>
        </is>
      </c>
    </row>
    <row r="194">
      <c r="A194" s="5" t="inlineStr">
        <is>
          <t>International</t>
        </is>
      </c>
      <c r="B194" s="5" t="inlineStr">
        <is>
          <t>Australia</t>
        </is>
      </c>
      <c r="C194" s="5" t="inlineStr"/>
      <c r="D194" s="5" t="inlineStr">
        <is>
          <t>University of Technology Sydney</t>
        </is>
      </c>
      <c r="E194" t="inlineStr">
        <is>
          <t>QS Top 100</t>
        </is>
      </c>
      <c r="F194" t="n">
        <v>87</v>
      </c>
      <c r="G194" t="n">
        <v>2027</v>
      </c>
      <c r="H194" t="inlineStr">
        <is>
          <t>No</t>
        </is>
      </c>
      <c r="I194" t="inlineStr">
        <is>
          <t>Sydney</t>
        </is>
      </c>
      <c r="J194" t="inlineStr">
        <is>
          <t>QS</t>
        </is>
      </c>
      <c r="K194" t="n">
        <v>100</v>
      </c>
      <c r="L194" t="inlineStr">
        <is>
          <t>Australia|University of Technology Sydney</t>
        </is>
      </c>
    </row>
    <row r="195">
      <c r="A195" s="5" t="inlineStr">
        <is>
          <t>International</t>
        </is>
      </c>
      <c r="B195" s="5" t="inlineStr">
        <is>
          <t>Belgium</t>
        </is>
      </c>
      <c r="C195" s="5" t="inlineStr"/>
      <c r="D195" s="5" t="inlineStr">
        <is>
          <t>KU Leuven</t>
        </is>
      </c>
      <c r="E195" t="inlineStr">
        <is>
          <t>QS Top 100</t>
        </is>
      </c>
      <c r="F195" t="n">
        <v>59</v>
      </c>
      <c r="G195" t="n">
        <v>2027</v>
      </c>
      <c r="H195" t="inlineStr">
        <is>
          <t>No</t>
        </is>
      </c>
      <c r="I195" t="inlineStr">
        <is>
          <t>Leuven</t>
        </is>
      </c>
      <c r="J195" t="inlineStr">
        <is>
          <t>QS</t>
        </is>
      </c>
      <c r="K195" t="n">
        <v>100</v>
      </c>
      <c r="L195" t="inlineStr">
        <is>
          <t>Belgium|KU Leuven</t>
        </is>
      </c>
    </row>
    <row r="196">
      <c r="A196" s="5" t="inlineStr">
        <is>
          <t>International</t>
        </is>
      </c>
      <c r="B196" s="5" t="inlineStr">
        <is>
          <t>Canada</t>
        </is>
      </c>
      <c r="C196" s="5" t="inlineStr"/>
      <c r="D196" s="5" t="inlineStr">
        <is>
          <t>McGill University</t>
        </is>
      </c>
      <c r="E196" t="inlineStr">
        <is>
          <t>QS Top 100</t>
        </is>
      </c>
      <c r="F196" t="n">
        <v>30</v>
      </c>
      <c r="G196" t="n">
        <v>2027</v>
      </c>
      <c r="H196" t="inlineStr">
        <is>
          <t>No</t>
        </is>
      </c>
      <c r="I196" t="inlineStr">
        <is>
          <t>Montreal</t>
        </is>
      </c>
      <c r="J196" t="inlineStr">
        <is>
          <t>QS</t>
        </is>
      </c>
      <c r="K196" t="n">
        <v>100</v>
      </c>
      <c r="L196" t="inlineStr">
        <is>
          <t>Canada|McGill University</t>
        </is>
      </c>
    </row>
    <row r="197">
      <c r="A197" s="5" t="inlineStr">
        <is>
          <t>International</t>
        </is>
      </c>
      <c r="B197" s="5" t="inlineStr">
        <is>
          <t>Canada</t>
        </is>
      </c>
      <c r="C197" s="5" t="inlineStr"/>
      <c r="D197" s="5" t="inlineStr">
        <is>
          <t>University of Alberta</t>
        </is>
      </c>
      <c r="E197" t="inlineStr">
        <is>
          <t>QS Top 100</t>
        </is>
      </c>
      <c r="F197" t="n">
        <v>96</v>
      </c>
      <c r="G197" t="n">
        <v>2027</v>
      </c>
      <c r="H197" t="inlineStr">
        <is>
          <t>No</t>
        </is>
      </c>
      <c r="I197" t="inlineStr">
        <is>
          <t>Edmonton</t>
        </is>
      </c>
      <c r="J197" t="inlineStr">
        <is>
          <t>QS</t>
        </is>
      </c>
      <c r="K197" t="n">
        <v>100</v>
      </c>
      <c r="L197" t="inlineStr">
        <is>
          <t>Canada|University of Alberta</t>
        </is>
      </c>
    </row>
    <row r="198">
      <c r="A198" s="5" t="inlineStr">
        <is>
          <t>International</t>
        </is>
      </c>
      <c r="B198" s="5" t="inlineStr">
        <is>
          <t>Canada</t>
        </is>
      </c>
      <c r="C198" s="5" t="inlineStr"/>
      <c r="D198" s="5" t="inlineStr">
        <is>
          <t>University of British Columbia</t>
        </is>
      </c>
      <c r="E198" t="inlineStr">
        <is>
          <t>QS Top 100</t>
        </is>
      </c>
      <c r="F198" t="n">
        <v>45</v>
      </c>
      <c r="G198" t="n">
        <v>2027</v>
      </c>
      <c r="H198" t="inlineStr">
        <is>
          <t>No</t>
        </is>
      </c>
      <c r="I198" t="inlineStr">
        <is>
          <t>Vancouver</t>
        </is>
      </c>
      <c r="J198" t="inlineStr">
        <is>
          <t>QS</t>
        </is>
      </c>
      <c r="K198" t="n">
        <v>100</v>
      </c>
      <c r="L198" t="inlineStr">
        <is>
          <t>Canada|University of British Columbia</t>
        </is>
      </c>
    </row>
    <row r="199">
      <c r="A199" s="5" t="inlineStr">
        <is>
          <t>International</t>
        </is>
      </c>
      <c r="B199" s="5" t="inlineStr">
        <is>
          <t>Canada</t>
        </is>
      </c>
      <c r="C199" s="5" t="inlineStr"/>
      <c r="D199" s="5" t="inlineStr">
        <is>
          <t>University of Toronto</t>
        </is>
      </c>
      <c r="E199" t="inlineStr">
        <is>
          <t>QS Top 100</t>
        </is>
      </c>
      <c r="F199" t="n">
        <v>32</v>
      </c>
      <c r="G199" t="n">
        <v>2027</v>
      </c>
      <c r="H199" t="inlineStr">
        <is>
          <t>No</t>
        </is>
      </c>
      <c r="I199" t="inlineStr">
        <is>
          <t>Toronto</t>
        </is>
      </c>
      <c r="J199" t="inlineStr">
        <is>
          <t>QS</t>
        </is>
      </c>
      <c r="K199" t="n">
        <v>100</v>
      </c>
      <c r="L199" t="inlineStr">
        <is>
          <t>Canada|University of Toronto</t>
        </is>
      </c>
    </row>
    <row r="200">
      <c r="A200" s="5" t="inlineStr">
        <is>
          <t>International</t>
        </is>
      </c>
      <c r="B200" s="5" t="inlineStr">
        <is>
          <t>China</t>
        </is>
      </c>
      <c r="C200" s="5" t="inlineStr"/>
      <c r="D200" s="5" t="inlineStr">
        <is>
          <t>Fudan University</t>
        </is>
      </c>
      <c r="E200" t="inlineStr">
        <is>
          <t>QS Top 100</t>
        </is>
      </c>
      <c r="F200" t="n">
        <v>26</v>
      </c>
      <c r="G200" t="n">
        <v>2027</v>
      </c>
      <c r="H200" t="inlineStr">
        <is>
          <t>No</t>
        </is>
      </c>
      <c r="I200" t="inlineStr">
        <is>
          <t>Shanghai</t>
        </is>
      </c>
      <c r="J200" t="inlineStr">
        <is>
          <t>QS</t>
        </is>
      </c>
      <c r="K200" t="n">
        <v>100</v>
      </c>
      <c r="L200" t="inlineStr">
        <is>
          <t>China|Fudan University</t>
        </is>
      </c>
    </row>
    <row r="201">
      <c r="A201" s="5" t="inlineStr">
        <is>
          <t>International</t>
        </is>
      </c>
      <c r="B201" s="5" t="inlineStr">
        <is>
          <t>China</t>
        </is>
      </c>
      <c r="C201" s="5" t="inlineStr"/>
      <c r="D201" s="5" t="inlineStr">
        <is>
          <t>Nanjing University</t>
        </is>
      </c>
      <c r="E201" t="inlineStr">
        <is>
          <t>QS Top 100</t>
        </is>
      </c>
      <c r="F201" t="n">
        <v>90</v>
      </c>
      <c r="G201" t="n">
        <v>2027</v>
      </c>
      <c r="H201" t="inlineStr">
        <is>
          <t>No</t>
        </is>
      </c>
      <c r="I201" t="inlineStr">
        <is>
          <t>Nanjing</t>
        </is>
      </c>
      <c r="J201" t="inlineStr">
        <is>
          <t>QS</t>
        </is>
      </c>
      <c r="K201" t="n">
        <v>100</v>
      </c>
      <c r="L201" t="inlineStr">
        <is>
          <t>China|Nanjing University</t>
        </is>
      </c>
    </row>
    <row r="202">
      <c r="A202" s="5" t="inlineStr">
        <is>
          <t>International</t>
        </is>
      </c>
      <c r="B202" s="5" t="inlineStr">
        <is>
          <t>China</t>
        </is>
      </c>
      <c r="C202" s="5" t="inlineStr"/>
      <c r="D202" s="5" t="inlineStr">
        <is>
          <t>Peking University</t>
        </is>
      </c>
      <c r="E202" t="inlineStr">
        <is>
          <t>QS Top 100</t>
        </is>
      </c>
      <c r="F202" t="n">
        <v>13</v>
      </c>
      <c r="G202" t="n">
        <v>2027</v>
      </c>
      <c r="H202" t="inlineStr">
        <is>
          <t>No</t>
        </is>
      </c>
      <c r="I202" t="inlineStr">
        <is>
          <t>Beijing</t>
        </is>
      </c>
      <c r="J202" t="inlineStr">
        <is>
          <t>QS</t>
        </is>
      </c>
      <c r="K202" t="n">
        <v>100</v>
      </c>
      <c r="L202" t="inlineStr">
        <is>
          <t>China|Peking University</t>
        </is>
      </c>
    </row>
    <row r="203">
      <c r="A203" s="5" t="inlineStr">
        <is>
          <t>International</t>
        </is>
      </c>
      <c r="B203" s="5" t="inlineStr">
        <is>
          <t>China</t>
        </is>
      </c>
      <c r="C203" s="5" t="inlineStr"/>
      <c r="D203" s="5" t="inlineStr">
        <is>
          <t>Shanghai Jiao Tong University</t>
        </is>
      </c>
      <c r="E203" t="inlineStr">
        <is>
          <t>QS Top 100</t>
        </is>
      </c>
      <c r="F203" t="n">
        <v>36</v>
      </c>
      <c r="G203" t="n">
        <v>2027</v>
      </c>
      <c r="H203" t="inlineStr">
        <is>
          <t>No</t>
        </is>
      </c>
      <c r="I203" t="inlineStr">
        <is>
          <t>Shanghai</t>
        </is>
      </c>
      <c r="J203" t="inlineStr">
        <is>
          <t>QS</t>
        </is>
      </c>
      <c r="K203" t="n">
        <v>100</v>
      </c>
      <c r="L203" t="inlineStr">
        <is>
          <t>China|Shanghai Jiao Tong University</t>
        </is>
      </c>
    </row>
    <row r="204">
      <c r="A204" s="5" t="inlineStr">
        <is>
          <t>International</t>
        </is>
      </c>
      <c r="B204" s="5" t="inlineStr">
        <is>
          <t>China</t>
        </is>
      </c>
      <c r="C204" s="5" t="inlineStr"/>
      <c r="D204" s="5" t="inlineStr">
        <is>
          <t>Tsinghua University</t>
        </is>
      </c>
      <c r="E204" t="inlineStr">
        <is>
          <t>QS Top 100</t>
        </is>
      </c>
      <c r="F204" t="n">
        <v>14</v>
      </c>
      <c r="G204" t="n">
        <v>2027</v>
      </c>
      <c r="H204" t="inlineStr">
        <is>
          <t>No</t>
        </is>
      </c>
      <c r="I204" t="inlineStr">
        <is>
          <t>Beijing</t>
        </is>
      </c>
      <c r="J204" t="inlineStr">
        <is>
          <t>QS</t>
        </is>
      </c>
      <c r="K204" t="n">
        <v>100</v>
      </c>
      <c r="L204" t="inlineStr">
        <is>
          <t>China|Tsinghua University</t>
        </is>
      </c>
    </row>
    <row r="205">
      <c r="A205" s="5" t="inlineStr">
        <is>
          <t>International</t>
        </is>
      </c>
      <c r="B205" s="5" t="inlineStr">
        <is>
          <t>China</t>
        </is>
      </c>
      <c r="C205" s="5" t="inlineStr"/>
      <c r="D205" s="5" t="inlineStr">
        <is>
          <t>Zhejiang University</t>
        </is>
      </c>
      <c r="E205" t="inlineStr">
        <is>
          <t>QS Top 100</t>
        </is>
      </c>
      <c r="F205" t="n">
        <v>47</v>
      </c>
      <c r="G205" t="n">
        <v>2027</v>
      </c>
      <c r="H205" t="inlineStr">
        <is>
          <t>No</t>
        </is>
      </c>
      <c r="I205" t="inlineStr">
        <is>
          <t>Hangzhou</t>
        </is>
      </c>
      <c r="J205" t="inlineStr">
        <is>
          <t>QS</t>
        </is>
      </c>
      <c r="K205" t="n">
        <v>100</v>
      </c>
      <c r="L205" t="inlineStr">
        <is>
          <t>China|Zhejiang University</t>
        </is>
      </c>
    </row>
    <row r="206">
      <c r="A206" s="5" t="inlineStr">
        <is>
          <t>International</t>
        </is>
      </c>
      <c r="B206" s="5" t="inlineStr">
        <is>
          <t>Denmark</t>
        </is>
      </c>
      <c r="C206" s="5" t="inlineStr"/>
      <c r="D206" s="5" t="inlineStr">
        <is>
          <t>University of Copenhagen</t>
        </is>
      </c>
      <c r="E206" t="inlineStr">
        <is>
          <t>QS Top 100</t>
        </is>
      </c>
      <c r="F206" t="n">
        <v>90</v>
      </c>
      <c r="G206" t="n">
        <v>2027</v>
      </c>
      <c r="H206" t="inlineStr">
        <is>
          <t>No</t>
        </is>
      </c>
      <c r="I206" t="inlineStr">
        <is>
          <t>Copenhagen</t>
        </is>
      </c>
      <c r="J206" t="inlineStr">
        <is>
          <t>QS</t>
        </is>
      </c>
      <c r="K206" t="n">
        <v>100</v>
      </c>
      <c r="L206" t="inlineStr">
        <is>
          <t>Denmark|University of Copenhagen</t>
        </is>
      </c>
    </row>
    <row r="207">
      <c r="A207" s="5" t="inlineStr">
        <is>
          <t>International</t>
        </is>
      </c>
      <c r="B207" s="5" t="inlineStr">
        <is>
          <t>France</t>
        </is>
      </c>
      <c r="C207" s="5" t="inlineStr"/>
      <c r="D207" s="5" t="inlineStr">
        <is>
          <t>Institut Polytechnique de Paris</t>
        </is>
      </c>
      <c r="E207" t="inlineStr">
        <is>
          <t>QS Top 100</t>
        </is>
      </c>
      <c r="F207" t="n">
        <v>43</v>
      </c>
      <c r="G207" t="n">
        <v>2027</v>
      </c>
      <c r="H207" t="inlineStr">
        <is>
          <t>No</t>
        </is>
      </c>
      <c r="I207" t="inlineStr">
        <is>
          <t>Palaiseau</t>
        </is>
      </c>
      <c r="J207" t="inlineStr">
        <is>
          <t>QS</t>
        </is>
      </c>
      <c r="K207" t="n">
        <v>100</v>
      </c>
      <c r="L207" t="inlineStr">
        <is>
          <t>France|Institut Polytechnique de Paris</t>
        </is>
      </c>
    </row>
    <row r="208">
      <c r="A208" s="5" t="inlineStr">
        <is>
          <t>International</t>
        </is>
      </c>
      <c r="B208" s="5" t="inlineStr">
        <is>
          <t>France</t>
        </is>
      </c>
      <c r="C208" s="5" t="inlineStr"/>
      <c r="D208" s="5" t="inlineStr">
        <is>
          <t>Sorbonne University</t>
        </is>
      </c>
      <c r="E208" t="inlineStr">
        <is>
          <t>QS Top 100</t>
        </is>
      </c>
      <c r="F208" t="n">
        <v>73</v>
      </c>
      <c r="G208" t="n">
        <v>2027</v>
      </c>
      <c r="H208" t="inlineStr">
        <is>
          <t>No</t>
        </is>
      </c>
      <c r="I208" t="inlineStr">
        <is>
          <t>Paris</t>
        </is>
      </c>
      <c r="J208" t="inlineStr">
        <is>
          <t>QS</t>
        </is>
      </c>
      <c r="K208" t="n">
        <v>100</v>
      </c>
      <c r="L208" t="inlineStr">
        <is>
          <t>France|Sorbonne University</t>
        </is>
      </c>
    </row>
    <row r="209">
      <c r="A209" s="5" t="inlineStr">
        <is>
          <t>International</t>
        </is>
      </c>
      <c r="B209" s="5" t="inlineStr">
        <is>
          <t>France</t>
        </is>
      </c>
      <c r="C209" s="5" t="inlineStr"/>
      <c r="D209" s="5" t="inlineStr">
        <is>
          <t>Université PSL</t>
        </is>
      </c>
      <c r="E209" t="inlineStr">
        <is>
          <t>QS Top 100</t>
        </is>
      </c>
      <c r="F209" t="n">
        <v>34</v>
      </c>
      <c r="G209" t="n">
        <v>2027</v>
      </c>
      <c r="H209" t="inlineStr">
        <is>
          <t>No</t>
        </is>
      </c>
      <c r="I209" t="inlineStr">
        <is>
          <t>Paris</t>
        </is>
      </c>
      <c r="J209" t="inlineStr">
        <is>
          <t>QS</t>
        </is>
      </c>
      <c r="K209" t="n">
        <v>100</v>
      </c>
      <c r="L209" t="inlineStr">
        <is>
          <t>France|Université PSL</t>
        </is>
      </c>
    </row>
    <row r="210">
      <c r="A210" s="5" t="inlineStr">
        <is>
          <t>International</t>
        </is>
      </c>
      <c r="B210" s="5" t="inlineStr">
        <is>
          <t>France</t>
        </is>
      </c>
      <c r="C210" s="5" t="inlineStr"/>
      <c r="D210" s="5" t="inlineStr">
        <is>
          <t>Université Paris-Saclay</t>
        </is>
      </c>
      <c r="E210" t="inlineStr">
        <is>
          <t>QS Top 100</t>
        </is>
      </c>
      <c r="F210" t="n">
        <v>76</v>
      </c>
      <c r="G210" t="n">
        <v>2027</v>
      </c>
      <c r="H210" t="inlineStr">
        <is>
          <t>No</t>
        </is>
      </c>
      <c r="I210" t="inlineStr">
        <is>
          <t>Gif-sur-Yvette</t>
        </is>
      </c>
      <c r="J210" t="inlineStr">
        <is>
          <t>QS</t>
        </is>
      </c>
      <c r="K210" t="n">
        <v>100</v>
      </c>
      <c r="L210" t="inlineStr">
        <is>
          <t>France|Université Paris-Saclay</t>
        </is>
      </c>
    </row>
    <row r="211">
      <c r="A211" s="5" t="inlineStr">
        <is>
          <t>International</t>
        </is>
      </c>
      <c r="B211" s="5" t="inlineStr">
        <is>
          <t>Germany</t>
        </is>
      </c>
      <c r="C211" s="5" t="inlineStr"/>
      <c r="D211" s="5" t="inlineStr">
        <is>
          <t>Freie Universitaet Berlin</t>
        </is>
      </c>
      <c r="E211" t="inlineStr">
        <is>
          <t>QS Top 100</t>
        </is>
      </c>
      <c r="F211" t="n">
        <v>98</v>
      </c>
      <c r="G211" t="n">
        <v>2027</v>
      </c>
      <c r="H211" t="inlineStr">
        <is>
          <t>No</t>
        </is>
      </c>
      <c r="I211" t="inlineStr">
        <is>
          <t>Berlin</t>
        </is>
      </c>
      <c r="J211" t="inlineStr">
        <is>
          <t>QS</t>
        </is>
      </c>
      <c r="K211" t="n">
        <v>100</v>
      </c>
      <c r="L211" t="inlineStr">
        <is>
          <t>Germany|Freie Universitaet Berlin</t>
        </is>
      </c>
    </row>
    <row r="212">
      <c r="A212" s="5" t="inlineStr">
        <is>
          <t>International</t>
        </is>
      </c>
      <c r="B212" s="5" t="inlineStr">
        <is>
          <t>Germany</t>
        </is>
      </c>
      <c r="C212" s="5" t="inlineStr"/>
      <c r="D212" s="5" t="inlineStr">
        <is>
          <t>Ludwig-Maximilians-Universität München</t>
        </is>
      </c>
      <c r="E212" t="inlineStr">
        <is>
          <t>QS Top 100</t>
        </is>
      </c>
      <c r="F212" t="n">
        <v>61</v>
      </c>
      <c r="G212" t="n">
        <v>2027</v>
      </c>
      <c r="H212" t="inlineStr">
        <is>
          <t>No</t>
        </is>
      </c>
      <c r="I212" t="inlineStr">
        <is>
          <t>Munich</t>
        </is>
      </c>
      <c r="J212" t="inlineStr">
        <is>
          <t>QS</t>
        </is>
      </c>
      <c r="K212" t="n">
        <v>100</v>
      </c>
      <c r="L212" t="inlineStr">
        <is>
          <t>Germany|Ludwig-Maximilians-Universität München</t>
        </is>
      </c>
    </row>
    <row r="213">
      <c r="A213" s="5" t="inlineStr">
        <is>
          <t>International</t>
        </is>
      </c>
      <c r="B213" s="5" t="inlineStr">
        <is>
          <t>Germany</t>
        </is>
      </c>
      <c r="C213" s="5" t="inlineStr"/>
      <c r="D213" s="5" t="inlineStr">
        <is>
          <t>Technical University of Munich</t>
        </is>
      </c>
      <c r="E213" t="inlineStr">
        <is>
          <t>QS Top 100</t>
        </is>
      </c>
      <c r="F213" t="n">
        <v>25</v>
      </c>
      <c r="G213" t="n">
        <v>2027</v>
      </c>
      <c r="H213" t="inlineStr">
        <is>
          <t>No</t>
        </is>
      </c>
      <c r="I213" t="inlineStr">
        <is>
          <t>Munich</t>
        </is>
      </c>
      <c r="J213" t="inlineStr">
        <is>
          <t>QS</t>
        </is>
      </c>
      <c r="K213" t="n">
        <v>100</v>
      </c>
      <c r="L213" t="inlineStr">
        <is>
          <t>Germany|Technical University of Munich</t>
        </is>
      </c>
    </row>
    <row r="214">
      <c r="A214" s="5" t="inlineStr">
        <is>
          <t>International</t>
        </is>
      </c>
      <c r="B214" s="5" t="inlineStr">
        <is>
          <t>Germany</t>
        </is>
      </c>
      <c r="C214" s="5" t="inlineStr"/>
      <c r="D214" s="5" t="inlineStr">
        <is>
          <t>Universität Heidelberg</t>
        </is>
      </c>
      <c r="E214" t="inlineStr">
        <is>
          <t>QS Top 100</t>
        </is>
      </c>
      <c r="F214" t="n">
        <v>86</v>
      </c>
      <c r="G214" t="n">
        <v>2027</v>
      </c>
      <c r="H214" t="inlineStr">
        <is>
          <t>No</t>
        </is>
      </c>
      <c r="I214" t="inlineStr">
        <is>
          <t>Heidelberg</t>
        </is>
      </c>
      <c r="J214" t="inlineStr">
        <is>
          <t>QS</t>
        </is>
      </c>
      <c r="K214" t="n">
        <v>100</v>
      </c>
      <c r="L214" t="inlineStr">
        <is>
          <t>Germany|Universität Heidelberg</t>
        </is>
      </c>
    </row>
    <row r="215">
      <c r="A215" s="5" t="inlineStr">
        <is>
          <t>International</t>
        </is>
      </c>
      <c r="B215" s="5" t="inlineStr">
        <is>
          <t>Hong Kong SAR, China</t>
        </is>
      </c>
      <c r="C215" s="5" t="inlineStr"/>
      <c r="D215" s="5" t="inlineStr">
        <is>
          <t>City University of Hong Kong (CityUHK)</t>
        </is>
      </c>
      <c r="E215" t="inlineStr">
        <is>
          <t>QS Top 100</t>
        </is>
      </c>
      <c r="F215" t="n">
        <v>52</v>
      </c>
      <c r="G215" t="n">
        <v>2027</v>
      </c>
      <c r="H215" t="inlineStr">
        <is>
          <t>No</t>
        </is>
      </c>
      <c r="I215" t="inlineStr">
        <is>
          <t>Hong Kong</t>
        </is>
      </c>
      <c r="J215" t="inlineStr">
        <is>
          <t>QS</t>
        </is>
      </c>
      <c r="K215" t="n">
        <v>100</v>
      </c>
      <c r="L215" t="inlineStr">
        <is>
          <t>Hong Kong SAR, China|City University of Hong Kong (CityUHK)</t>
        </is>
      </c>
    </row>
    <row r="216">
      <c r="A216" s="5" t="inlineStr">
        <is>
          <t>International</t>
        </is>
      </c>
      <c r="B216" s="5" t="inlineStr">
        <is>
          <t>Hong Kong SAR, China</t>
        </is>
      </c>
      <c r="C216" s="5" t="inlineStr"/>
      <c r="D216" s="5" t="inlineStr">
        <is>
          <t>The Chinese University of Hong Kong (CUHK)</t>
        </is>
      </c>
      <c r="E216" t="inlineStr">
        <is>
          <t>QS Top 100</t>
        </is>
      </c>
      <c r="F216" t="n">
        <v>18</v>
      </c>
      <c r="G216" t="n">
        <v>2027</v>
      </c>
      <c r="H216" t="inlineStr">
        <is>
          <t>No</t>
        </is>
      </c>
      <c r="I216" t="inlineStr">
        <is>
          <t>Hong Kong</t>
        </is>
      </c>
      <c r="J216" t="inlineStr">
        <is>
          <t>QS</t>
        </is>
      </c>
      <c r="K216" t="n">
        <v>100</v>
      </c>
      <c r="L216" t="inlineStr">
        <is>
          <t>Hong Kong SAR, China|The Chinese University of Hong Kong (CUHK)</t>
        </is>
      </c>
    </row>
    <row r="217">
      <c r="A217" s="5" t="inlineStr">
        <is>
          <t>International</t>
        </is>
      </c>
      <c r="B217" s="5" t="inlineStr">
        <is>
          <t>Hong Kong SAR, China</t>
        </is>
      </c>
      <c r="C217" s="5" t="inlineStr"/>
      <c r="D217" s="5" t="inlineStr">
        <is>
          <t>The Hong Kong Polytechnic University</t>
        </is>
      </c>
      <c r="E217" t="inlineStr">
        <is>
          <t>QS Top 100</t>
        </is>
      </c>
      <c r="F217" t="n">
        <v>50</v>
      </c>
      <c r="G217" t="n">
        <v>2027</v>
      </c>
      <c r="H217" t="inlineStr">
        <is>
          <t>No</t>
        </is>
      </c>
      <c r="I217" t="inlineStr">
        <is>
          <t>Hong Kong</t>
        </is>
      </c>
      <c r="J217" t="inlineStr">
        <is>
          <t>QS</t>
        </is>
      </c>
      <c r="K217" t="n">
        <v>100</v>
      </c>
      <c r="L217" t="inlineStr">
        <is>
          <t>Hong Kong SAR, China|The Hong Kong Polytechnic University</t>
        </is>
      </c>
    </row>
    <row r="218">
      <c r="A218" s="5" t="inlineStr">
        <is>
          <t>International</t>
        </is>
      </c>
      <c r="B218" s="5" t="inlineStr">
        <is>
          <t>Hong Kong SAR, China</t>
        </is>
      </c>
      <c r="C218" s="5" t="inlineStr"/>
      <c r="D218" s="5" t="inlineStr">
        <is>
          <t>The Hong Kong University of Science and Technology</t>
        </is>
      </c>
      <c r="E218" t="inlineStr">
        <is>
          <t>QS Top 100</t>
        </is>
      </c>
      <c r="F218" t="n">
        <v>33</v>
      </c>
      <c r="G218" t="n">
        <v>2027</v>
      </c>
      <c r="H218" t="inlineStr">
        <is>
          <t>No</t>
        </is>
      </c>
      <c r="I218" t="inlineStr">
        <is>
          <t>Hong Kong</t>
        </is>
      </c>
      <c r="J218" t="inlineStr">
        <is>
          <t>QS</t>
        </is>
      </c>
      <c r="K218" t="n">
        <v>100</v>
      </c>
      <c r="L218" t="inlineStr">
        <is>
          <t>Hong Kong SAR, China|The Hong Kong University of Science and Technology</t>
        </is>
      </c>
    </row>
    <row r="219">
      <c r="A219" s="5" t="inlineStr">
        <is>
          <t>International</t>
        </is>
      </c>
      <c r="B219" s="5" t="inlineStr">
        <is>
          <t>Hong Kong SAR, China</t>
        </is>
      </c>
      <c r="C219" s="5" t="inlineStr"/>
      <c r="D219" s="5" t="inlineStr">
        <is>
          <t>The University of Hong Kong</t>
        </is>
      </c>
      <c r="E219" t="inlineStr">
        <is>
          <t>QS Top 100</t>
        </is>
      </c>
      <c r="F219" t="n">
        <v>11</v>
      </c>
      <c r="G219" t="n">
        <v>2027</v>
      </c>
      <c r="H219" t="inlineStr">
        <is>
          <t>No</t>
        </is>
      </c>
      <c r="I219" t="inlineStr">
        <is>
          <t>Hong Kong</t>
        </is>
      </c>
      <c r="J219" t="inlineStr">
        <is>
          <t>QS</t>
        </is>
      </c>
      <c r="K219" t="n">
        <v>100</v>
      </c>
      <c r="L219" t="inlineStr">
        <is>
          <t>Hong Kong SAR, China|The University of Hong Kong</t>
        </is>
      </c>
    </row>
    <row r="220">
      <c r="A220" s="5" t="inlineStr">
        <is>
          <t>International</t>
        </is>
      </c>
      <c r="B220" s="5" t="inlineStr">
        <is>
          <t>Ireland</t>
        </is>
      </c>
      <c r="C220" s="5" t="inlineStr"/>
      <c r="D220" s="5" t="inlineStr">
        <is>
          <t>Trinity College Dublin, The University of Dublin</t>
        </is>
      </c>
      <c r="E220" t="inlineStr">
        <is>
          <t>QS Top 100</t>
        </is>
      </c>
      <c r="F220" t="n">
        <v>75</v>
      </c>
      <c r="G220" t="n">
        <v>2027</v>
      </c>
      <c r="H220" t="inlineStr">
        <is>
          <t>No</t>
        </is>
      </c>
      <c r="I220" t="inlineStr">
        <is>
          <t>Dublin</t>
        </is>
      </c>
      <c r="J220" t="inlineStr">
        <is>
          <t>QS</t>
        </is>
      </c>
      <c r="K220" t="n">
        <v>100</v>
      </c>
      <c r="L220" t="inlineStr">
        <is>
          <t>Ireland|Trinity College Dublin, The University of Dublin</t>
        </is>
      </c>
    </row>
    <row r="221">
      <c r="A221" s="5" t="inlineStr">
        <is>
          <t>International</t>
        </is>
      </c>
      <c r="B221" s="5" t="inlineStr">
        <is>
          <t>Ireland</t>
        </is>
      </c>
      <c r="C221" s="5" t="inlineStr"/>
      <c r="D221" s="5" t="inlineStr">
        <is>
          <t>University College Dublin</t>
        </is>
      </c>
      <c r="E221" t="inlineStr">
        <is>
          <t>QS Top 100</t>
        </is>
      </c>
      <c r="F221" t="n">
        <v>100</v>
      </c>
      <c r="G221" t="n">
        <v>2027</v>
      </c>
      <c r="H221" t="inlineStr">
        <is>
          <t>No</t>
        </is>
      </c>
      <c r="I221" t="inlineStr">
        <is>
          <t>Dublin</t>
        </is>
      </c>
      <c r="J221" t="inlineStr">
        <is>
          <t>QS</t>
        </is>
      </c>
      <c r="K221" t="n">
        <v>100</v>
      </c>
      <c r="L221" t="inlineStr">
        <is>
          <t>Ireland|University College Dublin</t>
        </is>
      </c>
    </row>
    <row r="222">
      <c r="A222" s="5" t="inlineStr">
        <is>
          <t>International</t>
        </is>
      </c>
      <c r="B222" s="5" t="inlineStr">
        <is>
          <t>Italy</t>
        </is>
      </c>
      <c r="C222" s="5" t="inlineStr"/>
      <c r="D222" s="5" t="inlineStr">
        <is>
          <t>Politecnico di Milano</t>
        </is>
      </c>
      <c r="E222" t="inlineStr">
        <is>
          <t>QS Top 100</t>
        </is>
      </c>
      <c r="F222" t="n">
        <v>87</v>
      </c>
      <c r="G222" t="n">
        <v>2027</v>
      </c>
      <c r="H222" t="inlineStr">
        <is>
          <t>No</t>
        </is>
      </c>
      <c r="I222" t="inlineStr">
        <is>
          <t>Milan</t>
        </is>
      </c>
      <c r="J222" t="inlineStr">
        <is>
          <t>QS</t>
        </is>
      </c>
      <c r="K222" t="n">
        <v>100</v>
      </c>
      <c r="L222" t="inlineStr">
        <is>
          <t>Italy|Politecnico di Milano</t>
        </is>
      </c>
    </row>
    <row r="223">
      <c r="A223" s="5" t="inlineStr">
        <is>
          <t>International</t>
        </is>
      </c>
      <c r="B223" s="5" t="inlineStr">
        <is>
          <t>Japan</t>
        </is>
      </c>
      <c r="C223" s="5" t="inlineStr"/>
      <c r="D223" s="5" t="inlineStr">
        <is>
          <t>Institute of Science Tokyo</t>
        </is>
      </c>
      <c r="E223" t="inlineStr">
        <is>
          <t>QS Top 100</t>
        </is>
      </c>
      <c r="F223" t="n">
        <v>97</v>
      </c>
      <c r="G223" t="n">
        <v>2027</v>
      </c>
      <c r="H223" t="inlineStr">
        <is>
          <t>No</t>
        </is>
      </c>
      <c r="I223" t="inlineStr">
        <is>
          <t>Tokyo</t>
        </is>
      </c>
      <c r="J223" t="inlineStr">
        <is>
          <t>QS</t>
        </is>
      </c>
      <c r="K223" t="n">
        <v>100</v>
      </c>
      <c r="L223" t="inlineStr">
        <is>
          <t>Japan|Institute of Science Tokyo</t>
        </is>
      </c>
    </row>
    <row r="224">
      <c r="A224" s="5" t="inlineStr">
        <is>
          <t>International</t>
        </is>
      </c>
      <c r="B224" s="5" t="inlineStr">
        <is>
          <t>Japan</t>
        </is>
      </c>
      <c r="C224" s="5" t="inlineStr"/>
      <c r="D224" s="5" t="inlineStr">
        <is>
          <t>Kyoto University</t>
        </is>
      </c>
      <c r="E224" t="inlineStr">
        <is>
          <t>QS Top 100</t>
        </is>
      </c>
      <c r="F224" t="n">
        <v>64</v>
      </c>
      <c r="G224" t="n">
        <v>2027</v>
      </c>
      <c r="H224" t="inlineStr">
        <is>
          <t>No</t>
        </is>
      </c>
      <c r="I224" t="inlineStr">
        <is>
          <t>Kyoto</t>
        </is>
      </c>
      <c r="J224" t="inlineStr">
        <is>
          <t>QS</t>
        </is>
      </c>
      <c r="K224" t="n">
        <v>100</v>
      </c>
      <c r="L224" t="inlineStr">
        <is>
          <t>Japan|Kyoto University</t>
        </is>
      </c>
    </row>
    <row r="225">
      <c r="A225" s="5" t="inlineStr">
        <is>
          <t>International</t>
        </is>
      </c>
      <c r="B225" s="5" t="inlineStr">
        <is>
          <t>Japan</t>
        </is>
      </c>
      <c r="C225" s="5" t="inlineStr"/>
      <c r="D225" s="5" t="inlineStr">
        <is>
          <t>The University of Osaka</t>
        </is>
      </c>
      <c r="E225" t="inlineStr">
        <is>
          <t>QS Top 100</t>
        </is>
      </c>
      <c r="F225" t="n">
        <v>95</v>
      </c>
      <c r="G225" t="n">
        <v>2027</v>
      </c>
      <c r="H225" t="inlineStr">
        <is>
          <t>No</t>
        </is>
      </c>
      <c r="I225" t="inlineStr">
        <is>
          <t>Osaka</t>
        </is>
      </c>
      <c r="J225" t="inlineStr">
        <is>
          <t>QS</t>
        </is>
      </c>
      <c r="K225" t="n">
        <v>100</v>
      </c>
      <c r="L225" t="inlineStr">
        <is>
          <t>Japan|The University of Osaka</t>
        </is>
      </c>
    </row>
    <row r="226">
      <c r="A226" s="5" t="inlineStr">
        <is>
          <t>International</t>
        </is>
      </c>
      <c r="B226" s="5" t="inlineStr">
        <is>
          <t>Japan</t>
        </is>
      </c>
      <c r="C226" s="5" t="inlineStr"/>
      <c r="D226" s="5" t="inlineStr">
        <is>
          <t>The University of Tokyo</t>
        </is>
      </c>
      <c r="E226" t="inlineStr">
        <is>
          <t>QS Top 100</t>
        </is>
      </c>
      <c r="F226" t="n">
        <v>39</v>
      </c>
      <c r="G226" t="n">
        <v>2027</v>
      </c>
      <c r="H226" t="inlineStr">
        <is>
          <t>No</t>
        </is>
      </c>
      <c r="I226" t="inlineStr">
        <is>
          <t>Tokyo</t>
        </is>
      </c>
      <c r="J226" t="inlineStr">
        <is>
          <t>QS</t>
        </is>
      </c>
      <c r="K226" t="n">
        <v>100</v>
      </c>
      <c r="L226" t="inlineStr">
        <is>
          <t>Japan|The University of Tokyo</t>
        </is>
      </c>
    </row>
    <row r="227">
      <c r="A227" s="5" t="inlineStr">
        <is>
          <t>International</t>
        </is>
      </c>
      <c r="B227" s="5" t="inlineStr">
        <is>
          <t>Malaysia</t>
        </is>
      </c>
      <c r="C227" s="5" t="inlineStr"/>
      <c r="D227" s="5" t="inlineStr">
        <is>
          <t>Universiti Malaya (UM)</t>
        </is>
      </c>
      <c r="E227" t="inlineStr">
        <is>
          <t>QS Top 100</t>
        </is>
      </c>
      <c r="F227" t="n">
        <v>56</v>
      </c>
      <c r="G227" t="n">
        <v>2027</v>
      </c>
      <c r="H227" t="inlineStr">
        <is>
          <t>No</t>
        </is>
      </c>
      <c r="I227" t="inlineStr">
        <is>
          <t>Kuala Lumpur</t>
        </is>
      </c>
      <c r="J227" t="inlineStr">
        <is>
          <t>QS</t>
        </is>
      </c>
      <c r="K227" t="n">
        <v>100</v>
      </c>
      <c r="L227" t="inlineStr">
        <is>
          <t>Malaysia|Universiti Malaya (UM)</t>
        </is>
      </c>
    </row>
    <row r="228">
      <c r="A228" s="5" t="inlineStr">
        <is>
          <t>International</t>
        </is>
      </c>
      <c r="B228" s="5" t="inlineStr">
        <is>
          <t>Netherlands</t>
        </is>
      </c>
      <c r="C228" s="5" t="inlineStr"/>
      <c r="D228" s="5" t="inlineStr">
        <is>
          <t>Delft University of Technology</t>
        </is>
      </c>
      <c r="E228" t="inlineStr">
        <is>
          <t>QS Top 100</t>
        </is>
      </c>
      <c r="F228" t="n">
        <v>48</v>
      </c>
      <c r="G228" t="n">
        <v>2027</v>
      </c>
      <c r="H228" t="inlineStr">
        <is>
          <t>No</t>
        </is>
      </c>
      <c r="I228" t="inlineStr">
        <is>
          <t>Delft</t>
        </is>
      </c>
      <c r="J228" t="inlineStr">
        <is>
          <t>QS</t>
        </is>
      </c>
      <c r="K228" t="n">
        <v>100</v>
      </c>
      <c r="L228" t="inlineStr">
        <is>
          <t>Netherlands|Delft University of Technology</t>
        </is>
      </c>
    </row>
    <row r="229">
      <c r="A229" s="5" t="inlineStr">
        <is>
          <t>International</t>
        </is>
      </c>
      <c r="B229" s="5" t="inlineStr">
        <is>
          <t>Netherlands</t>
        </is>
      </c>
      <c r="C229" s="5" t="inlineStr"/>
      <c r="D229" s="5" t="inlineStr">
        <is>
          <t>University of Amsterdam</t>
        </is>
      </c>
      <c r="E229" t="inlineStr">
        <is>
          <t>QS Top 100</t>
        </is>
      </c>
      <c r="F229" t="n">
        <v>60</v>
      </c>
      <c r="G229" t="n">
        <v>2027</v>
      </c>
      <c r="H229" t="inlineStr">
        <is>
          <t>No</t>
        </is>
      </c>
      <c r="I229" t="inlineStr">
        <is>
          <t>Amsterdam</t>
        </is>
      </c>
      <c r="J229" t="inlineStr">
        <is>
          <t>QS</t>
        </is>
      </c>
      <c r="K229" t="n">
        <v>100</v>
      </c>
      <c r="L229" t="inlineStr">
        <is>
          <t>Netherlands|University of Amsterdam</t>
        </is>
      </c>
    </row>
    <row r="230">
      <c r="A230" s="5" t="inlineStr">
        <is>
          <t>International</t>
        </is>
      </c>
      <c r="B230" s="5" t="inlineStr">
        <is>
          <t>New Zealand</t>
        </is>
      </c>
      <c r="C230" s="5" t="inlineStr"/>
      <c r="D230" s="5" t="inlineStr">
        <is>
          <t>The University of Auckland</t>
        </is>
      </c>
      <c r="E230" t="inlineStr">
        <is>
          <t>QS Top 100</t>
        </is>
      </c>
      <c r="F230" t="n">
        <v>67</v>
      </c>
      <c r="G230" t="n">
        <v>2027</v>
      </c>
      <c r="H230" t="inlineStr">
        <is>
          <t>No</t>
        </is>
      </c>
      <c r="I230" t="inlineStr">
        <is>
          <t>Auckland</t>
        </is>
      </c>
      <c r="J230" t="inlineStr">
        <is>
          <t>QS</t>
        </is>
      </c>
      <c r="K230" t="n">
        <v>100</v>
      </c>
      <c r="L230" t="inlineStr">
        <is>
          <t>New Zealand|The University of Auckland</t>
        </is>
      </c>
    </row>
    <row r="231">
      <c r="A231" s="5" t="inlineStr">
        <is>
          <t>International</t>
        </is>
      </c>
      <c r="B231" s="5" t="inlineStr">
        <is>
          <t>Republic of Korea</t>
        </is>
      </c>
      <c r="C231" s="5" t="inlineStr"/>
      <c r="D231" s="5" t="inlineStr">
        <is>
          <t>KAIST</t>
        </is>
      </c>
      <c r="E231" t="inlineStr">
        <is>
          <t>QS Top 100</t>
        </is>
      </c>
      <c r="F231" t="n">
        <v>65</v>
      </c>
      <c r="G231" t="n">
        <v>2027</v>
      </c>
      <c r="H231" t="inlineStr">
        <is>
          <t>No</t>
        </is>
      </c>
      <c r="I231" t="inlineStr">
        <is>
          <t>Daejeon</t>
        </is>
      </c>
      <c r="J231" t="inlineStr">
        <is>
          <t>QS</t>
        </is>
      </c>
      <c r="K231" t="n">
        <v>100</v>
      </c>
      <c r="L231" t="inlineStr">
        <is>
          <t>Republic of Korea|KAIST</t>
        </is>
      </c>
    </row>
    <row r="232">
      <c r="A232" s="5" t="inlineStr">
        <is>
          <t>International</t>
        </is>
      </c>
      <c r="B232" s="5" t="inlineStr">
        <is>
          <t>Republic of Korea</t>
        </is>
      </c>
      <c r="C232" s="5" t="inlineStr"/>
      <c r="D232" s="5" t="inlineStr">
        <is>
          <t>Korea University</t>
        </is>
      </c>
      <c r="E232" t="inlineStr">
        <is>
          <t>QS Top 100</t>
        </is>
      </c>
      <c r="F232" t="n">
        <v>52</v>
      </c>
      <c r="G232" t="n">
        <v>2027</v>
      </c>
      <c r="H232" t="inlineStr">
        <is>
          <t>No</t>
        </is>
      </c>
      <c r="I232" t="inlineStr">
        <is>
          <t>Seoul</t>
        </is>
      </c>
      <c r="J232" t="inlineStr">
        <is>
          <t>QS</t>
        </is>
      </c>
      <c r="K232" t="n">
        <v>100</v>
      </c>
      <c r="L232" t="inlineStr">
        <is>
          <t>Republic of Korea|Korea University</t>
        </is>
      </c>
    </row>
    <row r="233">
      <c r="A233" s="5" t="inlineStr">
        <is>
          <t>International</t>
        </is>
      </c>
      <c r="B233" s="5" t="inlineStr">
        <is>
          <t>Republic of Korea</t>
        </is>
      </c>
      <c r="C233" s="5" t="inlineStr"/>
      <c r="D233" s="5" t="inlineStr">
        <is>
          <t>Seoul National University</t>
        </is>
      </c>
      <c r="E233" t="inlineStr">
        <is>
          <t>QS Top 100</t>
        </is>
      </c>
      <c r="F233" t="n">
        <v>38</v>
      </c>
      <c r="G233" t="n">
        <v>2027</v>
      </c>
      <c r="H233" t="inlineStr">
        <is>
          <t>No</t>
        </is>
      </c>
      <c r="I233" t="inlineStr">
        <is>
          <t>Seoul</t>
        </is>
      </c>
      <c r="J233" t="inlineStr">
        <is>
          <t>QS</t>
        </is>
      </c>
      <c r="K233" t="n">
        <v>100</v>
      </c>
      <c r="L233" t="inlineStr">
        <is>
          <t>Republic of Korea|Seoul National University</t>
        </is>
      </c>
    </row>
    <row r="234">
      <c r="A234" s="5" t="inlineStr">
        <is>
          <t>International</t>
        </is>
      </c>
      <c r="B234" s="5" t="inlineStr">
        <is>
          <t>Republic of Korea</t>
        </is>
      </c>
      <c r="C234" s="5" t="inlineStr"/>
      <c r="D234" s="5" t="inlineStr">
        <is>
          <t>Yonsei University</t>
        </is>
      </c>
      <c r="E234" t="inlineStr">
        <is>
          <t>QS Top 100</t>
        </is>
      </c>
      <c r="F234" t="n">
        <v>42</v>
      </c>
      <c r="G234" t="n">
        <v>2027</v>
      </c>
      <c r="H234" t="inlineStr">
        <is>
          <t>No</t>
        </is>
      </c>
      <c r="I234" t="inlineStr">
        <is>
          <t>Seoul</t>
        </is>
      </c>
      <c r="J234" t="inlineStr">
        <is>
          <t>QS</t>
        </is>
      </c>
      <c r="K234" t="n">
        <v>100</v>
      </c>
      <c r="L234" t="inlineStr">
        <is>
          <t>Republic of Korea|Yonsei University</t>
        </is>
      </c>
    </row>
    <row r="235">
      <c r="A235" s="5" t="inlineStr">
        <is>
          <t>International</t>
        </is>
      </c>
      <c r="B235" s="5" t="inlineStr">
        <is>
          <t>Saudi Arabia</t>
        </is>
      </c>
      <c r="C235" s="5" t="inlineStr"/>
      <c r="D235" s="5" t="inlineStr">
        <is>
          <t>King Fahd University of Petroleum and Minerals (KFUPM)</t>
        </is>
      </c>
      <c r="E235" t="inlineStr">
        <is>
          <t>QS Top 100</t>
        </is>
      </c>
      <c r="F235" t="n">
        <v>63</v>
      </c>
      <c r="G235" t="n">
        <v>2027</v>
      </c>
      <c r="H235" t="inlineStr">
        <is>
          <t>No</t>
        </is>
      </c>
      <c r="I235" t="inlineStr">
        <is>
          <t>Dhahran</t>
        </is>
      </c>
      <c r="J235" t="inlineStr">
        <is>
          <t>QS</t>
        </is>
      </c>
      <c r="K235" t="n">
        <v>100</v>
      </c>
      <c r="L235" t="inlineStr">
        <is>
          <t>Saudi Arabia|King Fahd University of Petroleum and Minerals (KFUPM)</t>
        </is>
      </c>
    </row>
    <row r="236">
      <c r="A236" s="5" t="inlineStr">
        <is>
          <t>International</t>
        </is>
      </c>
      <c r="B236" s="5" t="inlineStr">
        <is>
          <t>Singapore</t>
        </is>
      </c>
      <c r="C236" s="5" t="inlineStr"/>
      <c r="D236" s="5" t="inlineStr">
        <is>
          <t>Nanyang Technological University, Singapore (NTU Singapore)</t>
        </is>
      </c>
      <c r="E236" t="inlineStr">
        <is>
          <t>QS Top 100</t>
        </is>
      </c>
      <c r="F236" t="n">
        <v>12</v>
      </c>
      <c r="G236" t="n">
        <v>2027</v>
      </c>
      <c r="H236" t="inlineStr">
        <is>
          <t>No</t>
        </is>
      </c>
      <c r="I236" t="inlineStr">
        <is>
          <t>Singapore</t>
        </is>
      </c>
      <c r="J236" t="inlineStr">
        <is>
          <t>QS</t>
        </is>
      </c>
      <c r="K236" t="n">
        <v>100</v>
      </c>
      <c r="L236" t="inlineStr">
        <is>
          <t>Singapore|Nanyang Technological University, Singapore (NTU Singapore)</t>
        </is>
      </c>
    </row>
    <row r="237">
      <c r="A237" s="5" t="inlineStr">
        <is>
          <t>International</t>
        </is>
      </c>
      <c r="B237" s="5" t="inlineStr">
        <is>
          <t>Singapore</t>
        </is>
      </c>
      <c r="C237" s="5" t="inlineStr"/>
      <c r="D237" s="5" t="inlineStr">
        <is>
          <t>National University of Singapore (NUS)</t>
        </is>
      </c>
      <c r="E237" t="inlineStr">
        <is>
          <t>QS Top 100</t>
        </is>
      </c>
      <c r="F237" t="n">
        <v>10</v>
      </c>
      <c r="G237" t="n">
        <v>2027</v>
      </c>
      <c r="H237" t="inlineStr">
        <is>
          <t>No</t>
        </is>
      </c>
      <c r="I237" t="inlineStr">
        <is>
          <t>Singapore</t>
        </is>
      </c>
      <c r="J237" t="inlineStr">
        <is>
          <t>QS</t>
        </is>
      </c>
      <c r="K237" t="n">
        <v>100</v>
      </c>
      <c r="L237" t="inlineStr">
        <is>
          <t>Singapore|National University of Singapore (NUS)</t>
        </is>
      </c>
    </row>
    <row r="238">
      <c r="A238" s="5" t="inlineStr">
        <is>
          <t>International</t>
        </is>
      </c>
      <c r="B238" s="5" t="inlineStr">
        <is>
          <t>Sweden</t>
        </is>
      </c>
      <c r="C238" s="5" t="inlineStr"/>
      <c r="D238" s="5" t="inlineStr">
        <is>
          <t>KTH Royal Institute of Technology</t>
        </is>
      </c>
      <c r="E238" t="inlineStr">
        <is>
          <t>QS Top 100</t>
        </is>
      </c>
      <c r="F238" t="n">
        <v>82</v>
      </c>
      <c r="G238" t="n">
        <v>2027</v>
      </c>
      <c r="H238" t="inlineStr">
        <is>
          <t>No</t>
        </is>
      </c>
      <c r="I238" t="inlineStr">
        <is>
          <t>Stockholm</t>
        </is>
      </c>
      <c r="J238" t="inlineStr">
        <is>
          <t>QS</t>
        </is>
      </c>
      <c r="K238" t="n">
        <v>100</v>
      </c>
      <c r="L238" t="inlineStr">
        <is>
          <t>Sweden|KTH Royal Institute of Technology</t>
        </is>
      </c>
    </row>
    <row r="239">
      <c r="A239" s="5" t="inlineStr">
        <is>
          <t>International</t>
        </is>
      </c>
      <c r="B239" s="5" t="inlineStr">
        <is>
          <t>Sweden</t>
        </is>
      </c>
      <c r="C239" s="5" t="inlineStr"/>
      <c r="D239" s="5" t="inlineStr">
        <is>
          <t>Lund University</t>
        </is>
      </c>
      <c r="E239" t="inlineStr">
        <is>
          <t>QS Top 100</t>
        </is>
      </c>
      <c r="F239" t="n">
        <v>71</v>
      </c>
      <c r="G239" t="n">
        <v>2027</v>
      </c>
      <c r="H239" t="inlineStr">
        <is>
          <t>No</t>
        </is>
      </c>
      <c r="I239" t="inlineStr">
        <is>
          <t>Lund</t>
        </is>
      </c>
      <c r="J239" t="inlineStr">
        <is>
          <t>QS</t>
        </is>
      </c>
      <c r="K239" t="n">
        <v>100</v>
      </c>
      <c r="L239" t="inlineStr">
        <is>
          <t>Sweden|Lund University</t>
        </is>
      </c>
    </row>
    <row r="240">
      <c r="A240" s="5" t="inlineStr">
        <is>
          <t>International</t>
        </is>
      </c>
      <c r="B240" s="5" t="inlineStr">
        <is>
          <t>Sweden</t>
        </is>
      </c>
      <c r="C240" s="5" t="inlineStr"/>
      <c r="D240" s="5" t="inlineStr">
        <is>
          <t>Uppsala University</t>
        </is>
      </c>
      <c r="E240" t="inlineStr">
        <is>
          <t>QS Top 100</t>
        </is>
      </c>
      <c r="F240" t="n">
        <v>87</v>
      </c>
      <c r="G240" t="n">
        <v>2027</v>
      </c>
      <c r="H240" t="inlineStr">
        <is>
          <t>No</t>
        </is>
      </c>
      <c r="I240" t="inlineStr">
        <is>
          <t>Uppsala</t>
        </is>
      </c>
      <c r="J240" t="inlineStr">
        <is>
          <t>QS</t>
        </is>
      </c>
      <c r="K240" t="n">
        <v>100</v>
      </c>
      <c r="L240" t="inlineStr">
        <is>
          <t>Sweden|Uppsala University</t>
        </is>
      </c>
    </row>
    <row r="241">
      <c r="A241" s="5" t="inlineStr">
        <is>
          <t>International</t>
        </is>
      </c>
      <c r="B241" s="5" t="inlineStr">
        <is>
          <t>Switzerland</t>
        </is>
      </c>
      <c r="C241" s="5" t="inlineStr"/>
      <c r="D241" s="5" t="inlineStr">
        <is>
          <t>EPFL – École polytechnique fédérale de Lausanne</t>
        </is>
      </c>
      <c r="E241" t="inlineStr">
        <is>
          <t>QS Top 100</t>
        </is>
      </c>
      <c r="F241" t="n">
        <v>22</v>
      </c>
      <c r="G241" t="n">
        <v>2027</v>
      </c>
      <c r="H241" t="inlineStr">
        <is>
          <t>No</t>
        </is>
      </c>
      <c r="I241" t="inlineStr">
        <is>
          <t>Lausanne</t>
        </is>
      </c>
      <c r="J241" t="inlineStr">
        <is>
          <t>QS</t>
        </is>
      </c>
      <c r="K241" t="n">
        <v>100</v>
      </c>
      <c r="L241" t="inlineStr">
        <is>
          <t>Switzerland|EPFL – École polytechnique fédérale de Lausanne</t>
        </is>
      </c>
    </row>
    <row r="242">
      <c r="A242" s="5" t="inlineStr">
        <is>
          <t>International</t>
        </is>
      </c>
      <c r="B242" s="5" t="inlineStr">
        <is>
          <t>Switzerland</t>
        </is>
      </c>
      <c r="C242" s="5" t="inlineStr"/>
      <c r="D242" s="5" t="inlineStr">
        <is>
          <t>ETH Zurich</t>
        </is>
      </c>
      <c r="E242" t="inlineStr">
        <is>
          <t>QS Top 100</t>
        </is>
      </c>
      <c r="F242" t="n">
        <v>8</v>
      </c>
      <c r="G242" t="n">
        <v>2027</v>
      </c>
      <c r="H242" t="inlineStr">
        <is>
          <t>No</t>
        </is>
      </c>
      <c r="I242" t="inlineStr">
        <is>
          <t>Zurich</t>
        </is>
      </c>
      <c r="J242" t="inlineStr">
        <is>
          <t>QS</t>
        </is>
      </c>
      <c r="K242" t="n">
        <v>100</v>
      </c>
      <c r="L242" t="inlineStr">
        <is>
          <t>Switzerland|ETH Zurich</t>
        </is>
      </c>
    </row>
    <row r="243">
      <c r="A243" s="5" t="inlineStr">
        <is>
          <t>International</t>
        </is>
      </c>
      <c r="B243" s="5" t="inlineStr">
        <is>
          <t>Switzerland</t>
        </is>
      </c>
      <c r="C243" s="5" t="inlineStr"/>
      <c r="D243" s="5" t="inlineStr">
        <is>
          <t>University of Zurich</t>
        </is>
      </c>
      <c r="E243" t="inlineStr">
        <is>
          <t>QS Top 100</t>
        </is>
      </c>
      <c r="F243" t="n">
        <v>98</v>
      </c>
      <c r="G243" t="n">
        <v>2027</v>
      </c>
      <c r="H243" t="inlineStr">
        <is>
          <t>No</t>
        </is>
      </c>
      <c r="I243" t="inlineStr">
        <is>
          <t>Zurich</t>
        </is>
      </c>
      <c r="J243" t="inlineStr">
        <is>
          <t>QS</t>
        </is>
      </c>
      <c r="K243" t="n">
        <v>100</v>
      </c>
      <c r="L243" t="inlineStr">
        <is>
          <t>Switzerland|University of Zurich</t>
        </is>
      </c>
    </row>
    <row r="244">
      <c r="A244" s="5" t="inlineStr">
        <is>
          <t>International</t>
        </is>
      </c>
      <c r="B244" s="5" t="inlineStr">
        <is>
          <t>Taiwan</t>
        </is>
      </c>
      <c r="C244" s="5" t="inlineStr"/>
      <c r="D244" s="5" t="inlineStr">
        <is>
          <t>National Taiwan University (NTU)</t>
        </is>
      </c>
      <c r="E244" t="inlineStr">
        <is>
          <t>QS Top 100</t>
        </is>
      </c>
      <c r="F244" t="n">
        <v>54</v>
      </c>
      <c r="G244" t="n">
        <v>2027</v>
      </c>
      <c r="H244" t="inlineStr">
        <is>
          <t>No</t>
        </is>
      </c>
      <c r="I244" t="inlineStr">
        <is>
          <t>Taipei</t>
        </is>
      </c>
      <c r="J244" t="inlineStr">
        <is>
          <t>QS</t>
        </is>
      </c>
      <c r="K244" t="n">
        <v>100</v>
      </c>
      <c r="L244" t="inlineStr">
        <is>
          <t>Taiwan|National Taiwan University (NTU)</t>
        </is>
      </c>
    </row>
    <row r="245">
      <c r="A245" s="5" t="inlineStr">
        <is>
          <t>International</t>
        </is>
      </c>
      <c r="B245" s="5" t="inlineStr">
        <is>
          <t>United Kingdom</t>
        </is>
      </c>
      <c r="C245" s="5" t="inlineStr"/>
      <c r="D245" s="5" t="inlineStr">
        <is>
          <t>Durham University</t>
        </is>
      </c>
      <c r="E245" t="inlineStr">
        <is>
          <t>QS Top 100</t>
        </is>
      </c>
      <c r="F245" t="n">
        <v>85</v>
      </c>
      <c r="G245" t="n">
        <v>2027</v>
      </c>
      <c r="H245" t="inlineStr">
        <is>
          <t>No</t>
        </is>
      </c>
      <c r="I245" t="inlineStr">
        <is>
          <t>Durham</t>
        </is>
      </c>
      <c r="J245" t="inlineStr">
        <is>
          <t>QS</t>
        </is>
      </c>
      <c r="K245" t="n">
        <v>100</v>
      </c>
      <c r="L245" t="inlineStr">
        <is>
          <t>United Kingdom|Durham University</t>
        </is>
      </c>
    </row>
    <row r="246">
      <c r="A246" s="5" t="inlineStr">
        <is>
          <t>International</t>
        </is>
      </c>
      <c r="B246" s="5" t="inlineStr">
        <is>
          <t>United Kingdom</t>
        </is>
      </c>
      <c r="C246" s="5" t="inlineStr"/>
      <c r="D246" s="5" t="inlineStr">
        <is>
          <t>Imperial College London</t>
        </is>
      </c>
      <c r="E246" t="inlineStr">
        <is>
          <t>QS Top 100</t>
        </is>
      </c>
      <c r="F246" t="n">
        <v>2</v>
      </c>
      <c r="G246" t="n">
        <v>2027</v>
      </c>
      <c r="H246" t="inlineStr">
        <is>
          <t>No</t>
        </is>
      </c>
      <c r="I246" t="inlineStr">
        <is>
          <t>London</t>
        </is>
      </c>
      <c r="J246" t="inlineStr">
        <is>
          <t>QS</t>
        </is>
      </c>
      <c r="K246" t="n">
        <v>100</v>
      </c>
      <c r="L246" t="inlineStr">
        <is>
          <t>United Kingdom|Imperial College London</t>
        </is>
      </c>
    </row>
    <row r="247">
      <c r="A247" s="5" t="inlineStr">
        <is>
          <t>International</t>
        </is>
      </c>
      <c r="B247" s="5" t="inlineStr">
        <is>
          <t>United Kingdom</t>
        </is>
      </c>
      <c r="C247" s="5" t="inlineStr"/>
      <c r="D247" s="5" t="inlineStr">
        <is>
          <t>King's College London</t>
        </is>
      </c>
      <c r="E247" t="inlineStr">
        <is>
          <t>QS Top 100</t>
        </is>
      </c>
      <c r="F247" t="n">
        <v>37</v>
      </c>
      <c r="G247" t="n">
        <v>2027</v>
      </c>
      <c r="H247" t="inlineStr">
        <is>
          <t>No</t>
        </is>
      </c>
      <c r="I247" t="inlineStr">
        <is>
          <t>London</t>
        </is>
      </c>
      <c r="J247" t="inlineStr">
        <is>
          <t>QS</t>
        </is>
      </c>
      <c r="K247" t="n">
        <v>100</v>
      </c>
      <c r="L247" t="inlineStr">
        <is>
          <t>United Kingdom|King's College London</t>
        </is>
      </c>
    </row>
    <row r="248">
      <c r="A248" s="5" t="inlineStr">
        <is>
          <t>International</t>
        </is>
      </c>
      <c r="B248" s="5" t="inlineStr">
        <is>
          <t>United Kingdom</t>
        </is>
      </c>
      <c r="C248" s="5" t="inlineStr"/>
      <c r="D248" s="5" t="inlineStr">
        <is>
          <t>The London School of Economics and Political Science (LSE)</t>
        </is>
      </c>
      <c r="E248" t="inlineStr">
        <is>
          <t>QS Top 100</t>
        </is>
      </c>
      <c r="F248" t="n">
        <v>62</v>
      </c>
      <c r="G248" t="n">
        <v>2027</v>
      </c>
      <c r="H248" t="inlineStr">
        <is>
          <t>No</t>
        </is>
      </c>
      <c r="I248" t="inlineStr">
        <is>
          <t>London</t>
        </is>
      </c>
      <c r="J248" t="inlineStr">
        <is>
          <t>QS</t>
        </is>
      </c>
      <c r="K248" t="n">
        <v>100</v>
      </c>
      <c r="L248" t="inlineStr">
        <is>
          <t>United Kingdom|The London School of Economics and Political Science (LSE)</t>
        </is>
      </c>
    </row>
    <row r="249">
      <c r="A249" s="5" t="inlineStr">
        <is>
          <t>International</t>
        </is>
      </c>
      <c r="B249" s="5" t="inlineStr">
        <is>
          <t>United Kingdom</t>
        </is>
      </c>
      <c r="C249" s="5" t="inlineStr"/>
      <c r="D249" s="5" t="inlineStr">
        <is>
          <t>The University of Edinburgh</t>
        </is>
      </c>
      <c r="E249" t="inlineStr">
        <is>
          <t>QS Top 100</t>
        </is>
      </c>
      <c r="F249" t="n">
        <v>35</v>
      </c>
      <c r="G249" t="n">
        <v>2027</v>
      </c>
      <c r="H249" t="inlineStr">
        <is>
          <t>No</t>
        </is>
      </c>
      <c r="I249" t="inlineStr">
        <is>
          <t>Edinburgh</t>
        </is>
      </c>
      <c r="J249" t="inlineStr">
        <is>
          <t>QS</t>
        </is>
      </c>
      <c r="K249" t="n">
        <v>100</v>
      </c>
      <c r="L249" t="inlineStr">
        <is>
          <t>United Kingdom|The University of Edinburgh</t>
        </is>
      </c>
    </row>
    <row r="250">
      <c r="A250" s="5" t="inlineStr">
        <is>
          <t>International</t>
        </is>
      </c>
      <c r="B250" s="5" t="inlineStr">
        <is>
          <t>United Kingdom</t>
        </is>
      </c>
      <c r="C250" s="5" t="inlineStr"/>
      <c r="D250" s="5" t="inlineStr">
        <is>
          <t>The University of Manchester</t>
        </is>
      </c>
      <c r="E250" t="inlineStr">
        <is>
          <t>QS Top 100</t>
        </is>
      </c>
      <c r="F250" t="n">
        <v>40</v>
      </c>
      <c r="G250" t="n">
        <v>2027</v>
      </c>
      <c r="H250" t="inlineStr">
        <is>
          <t>No</t>
        </is>
      </c>
      <c r="I250" t="inlineStr">
        <is>
          <t>Manchester</t>
        </is>
      </c>
      <c r="J250" t="inlineStr">
        <is>
          <t>QS</t>
        </is>
      </c>
      <c r="K250" t="n">
        <v>100</v>
      </c>
      <c r="L250" t="inlineStr">
        <is>
          <t>United Kingdom|The University of Manchester</t>
        </is>
      </c>
    </row>
    <row r="251">
      <c r="A251" s="5" t="inlineStr">
        <is>
          <t>International</t>
        </is>
      </c>
      <c r="B251" s="5" t="inlineStr">
        <is>
          <t>United Kingdom</t>
        </is>
      </c>
      <c r="C251" s="5" t="inlineStr"/>
      <c r="D251" s="5" t="inlineStr">
        <is>
          <t>The University of Sheffield</t>
        </is>
      </c>
      <c r="E251" t="inlineStr">
        <is>
          <t>QS Top 100</t>
        </is>
      </c>
      <c r="F251" t="n">
        <v>82</v>
      </c>
      <c r="G251" t="n">
        <v>2027</v>
      </c>
      <c r="H251" t="inlineStr">
        <is>
          <t>No</t>
        </is>
      </c>
      <c r="I251" t="inlineStr">
        <is>
          <t>Sheffield</t>
        </is>
      </c>
      <c r="J251" t="inlineStr">
        <is>
          <t>QS</t>
        </is>
      </c>
      <c r="K251" t="n">
        <v>100</v>
      </c>
      <c r="L251" t="inlineStr">
        <is>
          <t>United Kingdom|The University of Sheffield</t>
        </is>
      </c>
    </row>
    <row r="252">
      <c r="A252" s="5" t="inlineStr">
        <is>
          <t>International</t>
        </is>
      </c>
      <c r="B252" s="5" t="inlineStr">
        <is>
          <t>United Kingdom</t>
        </is>
      </c>
      <c r="C252" s="5" t="inlineStr"/>
      <c r="D252" s="5" t="inlineStr">
        <is>
          <t>The University of Warwick</t>
        </is>
      </c>
      <c r="E252" t="inlineStr">
        <is>
          <t>QS Top 100</t>
        </is>
      </c>
      <c r="F252" t="n">
        <v>68</v>
      </c>
      <c r="G252" t="n">
        <v>2027</v>
      </c>
      <c r="H252" t="inlineStr">
        <is>
          <t>No</t>
        </is>
      </c>
      <c r="I252" t="inlineStr">
        <is>
          <t>Coventry</t>
        </is>
      </c>
      <c r="J252" t="inlineStr">
        <is>
          <t>QS</t>
        </is>
      </c>
      <c r="K252" t="n">
        <v>100</v>
      </c>
      <c r="L252" t="inlineStr">
        <is>
          <t>United Kingdom|The University of Warwick</t>
        </is>
      </c>
    </row>
    <row r="253">
      <c r="A253" s="5" t="inlineStr">
        <is>
          <t>International</t>
        </is>
      </c>
      <c r="B253" s="5" t="inlineStr">
        <is>
          <t>United Kingdom</t>
        </is>
      </c>
      <c r="C253" s="5" t="inlineStr"/>
      <c r="D253" s="5" t="inlineStr">
        <is>
          <t>UCL</t>
        </is>
      </c>
      <c r="E253" t="inlineStr">
        <is>
          <t>QS Top 100</t>
        </is>
      </c>
      <c r="F253" t="n">
        <v>8</v>
      </c>
      <c r="G253" t="n">
        <v>2027</v>
      </c>
      <c r="H253" t="inlineStr">
        <is>
          <t>No</t>
        </is>
      </c>
      <c r="I253" t="inlineStr">
        <is>
          <t>London</t>
        </is>
      </c>
      <c r="J253" t="inlineStr">
        <is>
          <t>QS</t>
        </is>
      </c>
      <c r="K253" t="n">
        <v>100</v>
      </c>
      <c r="L253" t="inlineStr">
        <is>
          <t>United Kingdom|UCL</t>
        </is>
      </c>
    </row>
    <row r="254">
      <c r="A254" s="5" t="inlineStr">
        <is>
          <t>International</t>
        </is>
      </c>
      <c r="B254" s="5" t="inlineStr">
        <is>
          <t>United Kingdom</t>
        </is>
      </c>
      <c r="C254" s="5" t="inlineStr"/>
      <c r="D254" s="5" t="inlineStr">
        <is>
          <t>University of Birmingham</t>
        </is>
      </c>
      <c r="E254" t="inlineStr">
        <is>
          <t>QS Top 100</t>
        </is>
      </c>
      <c r="F254" t="n">
        <v>68</v>
      </c>
      <c r="G254" t="n">
        <v>2027</v>
      </c>
      <c r="H254" t="inlineStr">
        <is>
          <t>No</t>
        </is>
      </c>
      <c r="I254" t="inlineStr">
        <is>
          <t>Birmingham</t>
        </is>
      </c>
      <c r="J254" t="inlineStr">
        <is>
          <t>QS</t>
        </is>
      </c>
      <c r="K254" t="n">
        <v>100</v>
      </c>
      <c r="L254" t="inlineStr">
        <is>
          <t>United Kingdom|University of Birmingham</t>
        </is>
      </c>
    </row>
    <row r="255">
      <c r="A255" s="5" t="inlineStr">
        <is>
          <t>International</t>
        </is>
      </c>
      <c r="B255" s="5" t="inlineStr">
        <is>
          <t>United Kingdom</t>
        </is>
      </c>
      <c r="C255" s="5" t="inlineStr"/>
      <c r="D255" s="5" t="inlineStr">
        <is>
          <t>University of Bristol</t>
        </is>
      </c>
      <c r="E255" t="inlineStr">
        <is>
          <t>QS Top 100</t>
        </is>
      </c>
      <c r="F255" t="n">
        <v>57</v>
      </c>
      <c r="G255" t="n">
        <v>2027</v>
      </c>
      <c r="H255" t="inlineStr">
        <is>
          <t>No</t>
        </is>
      </c>
      <c r="I255" t="inlineStr">
        <is>
          <t>Bristol</t>
        </is>
      </c>
      <c r="J255" t="inlineStr">
        <is>
          <t>QS</t>
        </is>
      </c>
      <c r="K255" t="n">
        <v>100</v>
      </c>
      <c r="L255" t="inlineStr">
        <is>
          <t>United Kingdom|University of Bristol</t>
        </is>
      </c>
    </row>
    <row r="256">
      <c r="A256" s="5" t="inlineStr">
        <is>
          <t>International</t>
        </is>
      </c>
      <c r="B256" s="5" t="inlineStr">
        <is>
          <t>United Kingdom</t>
        </is>
      </c>
      <c r="C256" s="5" t="inlineStr"/>
      <c r="D256" s="5" t="inlineStr">
        <is>
          <t>University of Cambridge</t>
        </is>
      </c>
      <c r="E256" t="inlineStr">
        <is>
          <t>QS Top 100</t>
        </is>
      </c>
      <c r="F256" t="n">
        <v>6</v>
      </c>
      <c r="G256" t="n">
        <v>2027</v>
      </c>
      <c r="H256" t="inlineStr">
        <is>
          <t>No</t>
        </is>
      </c>
      <c r="I256" t="inlineStr">
        <is>
          <t>Cambridge</t>
        </is>
      </c>
      <c r="J256" t="inlineStr">
        <is>
          <t>QS</t>
        </is>
      </c>
      <c r="K256" t="n">
        <v>100</v>
      </c>
      <c r="L256" t="inlineStr">
        <is>
          <t>United Kingdom|University of Cambridge</t>
        </is>
      </c>
    </row>
    <row r="257">
      <c r="A257" s="5" t="inlineStr">
        <is>
          <t>International</t>
        </is>
      </c>
      <c r="B257" s="5" t="inlineStr">
        <is>
          <t>United Kingdom</t>
        </is>
      </c>
      <c r="C257" s="5" t="inlineStr"/>
      <c r="D257" s="5" t="inlineStr">
        <is>
          <t>University of Glasgow</t>
        </is>
      </c>
      <c r="E257" t="inlineStr">
        <is>
          <t>QS Top 100</t>
        </is>
      </c>
      <c r="F257" t="n">
        <v>80</v>
      </c>
      <c r="G257" t="n">
        <v>2027</v>
      </c>
      <c r="H257" t="inlineStr">
        <is>
          <t>No</t>
        </is>
      </c>
      <c r="I257" t="inlineStr">
        <is>
          <t>Glasgow</t>
        </is>
      </c>
      <c r="J257" t="inlineStr">
        <is>
          <t>QS</t>
        </is>
      </c>
      <c r="K257" t="n">
        <v>100</v>
      </c>
      <c r="L257" t="inlineStr">
        <is>
          <t>United Kingdom|University of Glasgow</t>
        </is>
      </c>
    </row>
    <row r="258">
      <c r="A258" s="5" t="inlineStr">
        <is>
          <t>International</t>
        </is>
      </c>
      <c r="B258" s="5" t="inlineStr">
        <is>
          <t>United Kingdom</t>
        </is>
      </c>
      <c r="C258" s="5" t="inlineStr"/>
      <c r="D258" s="5" t="inlineStr">
        <is>
          <t>University of Leeds</t>
        </is>
      </c>
      <c r="E258" t="inlineStr">
        <is>
          <t>QS Top 100</t>
        </is>
      </c>
      <c r="F258" t="n">
        <v>77</v>
      </c>
      <c r="G258" t="n">
        <v>2027</v>
      </c>
      <c r="H258" t="inlineStr">
        <is>
          <t>No</t>
        </is>
      </c>
      <c r="I258" t="inlineStr">
        <is>
          <t>Leeds</t>
        </is>
      </c>
      <c r="J258" t="inlineStr">
        <is>
          <t>QS</t>
        </is>
      </c>
      <c r="K258" t="n">
        <v>100</v>
      </c>
      <c r="L258" t="inlineStr">
        <is>
          <t>United Kingdom|University of Leeds</t>
        </is>
      </c>
    </row>
    <row r="259">
      <c r="A259" s="5" t="inlineStr">
        <is>
          <t>International</t>
        </is>
      </c>
      <c r="B259" s="5" t="inlineStr">
        <is>
          <t>United Kingdom</t>
        </is>
      </c>
      <c r="C259" s="5" t="inlineStr"/>
      <c r="D259" s="5" t="inlineStr">
        <is>
          <t>University of Nottingham</t>
        </is>
      </c>
      <c r="E259" t="inlineStr">
        <is>
          <t>QS Top 100</t>
        </is>
      </c>
      <c r="F259" t="n">
        <v>97</v>
      </c>
      <c r="G259" t="n">
        <v>2027</v>
      </c>
      <c r="H259" t="inlineStr">
        <is>
          <t>No</t>
        </is>
      </c>
      <c r="I259" t="inlineStr">
        <is>
          <t>Nottingham</t>
        </is>
      </c>
      <c r="J259" t="inlineStr">
        <is>
          <t>QS</t>
        </is>
      </c>
      <c r="K259" t="n">
        <v>100</v>
      </c>
      <c r="L259" t="inlineStr">
        <is>
          <t>United Kingdom|University of Nottingham</t>
        </is>
      </c>
    </row>
    <row r="260">
      <c r="A260" s="5" t="inlineStr">
        <is>
          <t>International</t>
        </is>
      </c>
      <c r="B260" s="5" t="inlineStr">
        <is>
          <t>United Kingdom</t>
        </is>
      </c>
      <c r="C260" s="5" t="inlineStr"/>
      <c r="D260" s="5" t="inlineStr">
        <is>
          <t>University of Oxford</t>
        </is>
      </c>
      <c r="E260" t="inlineStr">
        <is>
          <t>QS Top 100</t>
        </is>
      </c>
      <c r="F260" t="n">
        <v>4</v>
      </c>
      <c r="G260" t="n">
        <v>2027</v>
      </c>
      <c r="H260" t="inlineStr">
        <is>
          <t>No</t>
        </is>
      </c>
      <c r="I260" t="inlineStr">
        <is>
          <t>Oxford</t>
        </is>
      </c>
      <c r="J260" t="inlineStr">
        <is>
          <t>QS</t>
        </is>
      </c>
      <c r="K260" t="n">
        <v>100</v>
      </c>
      <c r="L260" t="inlineStr">
        <is>
          <t>United Kingdom|University of Oxford</t>
        </is>
      </c>
    </row>
    <row r="261">
      <c r="A261" s="5" t="inlineStr">
        <is>
          <t>International</t>
        </is>
      </c>
      <c r="B261" s="5" t="inlineStr">
        <is>
          <t>United States</t>
        </is>
      </c>
      <c r="C261" s="5" t="inlineStr"/>
      <c r="D261" s="5" t="inlineStr">
        <is>
          <t>Boston University</t>
        </is>
      </c>
      <c r="E261" t="inlineStr">
        <is>
          <t>QS Top 100</t>
        </is>
      </c>
      <c r="F261" t="n">
        <v>94</v>
      </c>
      <c r="G261" t="n">
        <v>2027</v>
      </c>
      <c r="H261" t="inlineStr">
        <is>
          <t>No</t>
        </is>
      </c>
      <c r="I261" t="inlineStr">
        <is>
          <t>Boston, MA</t>
        </is>
      </c>
      <c r="J261" t="inlineStr">
        <is>
          <t>QS</t>
        </is>
      </c>
      <c r="K261" t="n">
        <v>100</v>
      </c>
      <c r="L261" t="inlineStr">
        <is>
          <t>United States|Boston University</t>
        </is>
      </c>
    </row>
    <row r="262">
      <c r="A262" s="5" t="inlineStr">
        <is>
          <t>International</t>
        </is>
      </c>
      <c r="B262" s="5" t="inlineStr">
        <is>
          <t>United States</t>
        </is>
      </c>
      <c r="C262" s="5" t="inlineStr"/>
      <c r="D262" s="5" t="inlineStr">
        <is>
          <t>Brown University</t>
        </is>
      </c>
      <c r="E262" t="inlineStr">
        <is>
          <t>QS Top 100</t>
        </is>
      </c>
      <c r="F262" t="n">
        <v>66</v>
      </c>
      <c r="G262" t="n">
        <v>2027</v>
      </c>
      <c r="H262" t="inlineStr">
        <is>
          <t>No</t>
        </is>
      </c>
      <c r="I262" t="inlineStr">
        <is>
          <t>Providence, RI</t>
        </is>
      </c>
      <c r="J262" t="inlineStr">
        <is>
          <t>QS</t>
        </is>
      </c>
      <c r="K262" t="n">
        <v>100</v>
      </c>
      <c r="L262" t="inlineStr">
        <is>
          <t>United States|Brown University</t>
        </is>
      </c>
    </row>
    <row r="263">
      <c r="A263" s="5" t="inlineStr">
        <is>
          <t>International</t>
        </is>
      </c>
      <c r="B263" s="5" t="inlineStr">
        <is>
          <t>United States</t>
        </is>
      </c>
      <c r="C263" s="5" t="inlineStr"/>
      <c r="D263" s="5" t="inlineStr">
        <is>
          <t>California Institute of Technology (Caltech)</t>
        </is>
      </c>
      <c r="E263" t="inlineStr">
        <is>
          <t>QS Top 100</t>
        </is>
      </c>
      <c r="F263" t="n">
        <v>7</v>
      </c>
      <c r="G263" t="n">
        <v>2027</v>
      </c>
      <c r="H263" t="inlineStr">
        <is>
          <t>No</t>
        </is>
      </c>
      <c r="I263" t="inlineStr">
        <is>
          <t>Pasadena, CA</t>
        </is>
      </c>
      <c r="J263" t="inlineStr">
        <is>
          <t>QS</t>
        </is>
      </c>
      <c r="K263" t="n">
        <v>100</v>
      </c>
      <c r="L263" t="inlineStr">
        <is>
          <t>United States|California Institute of Technology (Caltech)</t>
        </is>
      </c>
    </row>
    <row r="264">
      <c r="A264" s="5" t="inlineStr">
        <is>
          <t>International</t>
        </is>
      </c>
      <c r="B264" s="5" t="inlineStr">
        <is>
          <t>United States</t>
        </is>
      </c>
      <c r="C264" s="5" t="inlineStr"/>
      <c r="D264" s="5" t="inlineStr">
        <is>
          <t>Carnegie Mellon University</t>
        </is>
      </c>
      <c r="E264" t="inlineStr">
        <is>
          <t>QS Top 100</t>
        </is>
      </c>
      <c r="F264" t="n">
        <v>55</v>
      </c>
      <c r="G264" t="n">
        <v>2027</v>
      </c>
      <c r="H264" t="inlineStr">
        <is>
          <t>No</t>
        </is>
      </c>
      <c r="I264" t="inlineStr">
        <is>
          <t>Pittsburgh, PA</t>
        </is>
      </c>
      <c r="J264" t="inlineStr">
        <is>
          <t>QS</t>
        </is>
      </c>
      <c r="K264" t="n">
        <v>100</v>
      </c>
      <c r="L264" t="inlineStr">
        <is>
          <t>United States|Carnegie Mellon University</t>
        </is>
      </c>
    </row>
    <row r="265">
      <c r="A265" s="5" t="inlineStr">
        <is>
          <t>International</t>
        </is>
      </c>
      <c r="B265" s="5" t="inlineStr">
        <is>
          <t>United States</t>
        </is>
      </c>
      <c r="C265" s="5" t="inlineStr"/>
      <c r="D265" s="5" t="inlineStr">
        <is>
          <t>Columbia University</t>
        </is>
      </c>
      <c r="E265" t="inlineStr">
        <is>
          <t>QS Top 100</t>
        </is>
      </c>
      <c r="F265" t="n">
        <v>43</v>
      </c>
      <c r="G265" t="n">
        <v>2027</v>
      </c>
      <c r="H265" t="inlineStr">
        <is>
          <t>No</t>
        </is>
      </c>
      <c r="I265" t="inlineStr">
        <is>
          <t>New York, NY</t>
        </is>
      </c>
      <c r="J265" t="inlineStr">
        <is>
          <t>QS</t>
        </is>
      </c>
      <c r="K265" t="n">
        <v>100</v>
      </c>
      <c r="L265" t="inlineStr">
        <is>
          <t>United States|Columbia University</t>
        </is>
      </c>
    </row>
    <row r="266">
      <c r="A266" s="5" t="inlineStr">
        <is>
          <t>International</t>
        </is>
      </c>
      <c r="B266" s="5" t="inlineStr">
        <is>
          <t>United States</t>
        </is>
      </c>
      <c r="C266" s="5" t="inlineStr"/>
      <c r="D266" s="5" t="inlineStr">
        <is>
          <t>Cornell University</t>
        </is>
      </c>
      <c r="E266" t="inlineStr">
        <is>
          <t>QS Top 100</t>
        </is>
      </c>
      <c r="F266" t="n">
        <v>16</v>
      </c>
      <c r="G266" t="n">
        <v>2027</v>
      </c>
      <c r="H266" t="inlineStr">
        <is>
          <t>No</t>
        </is>
      </c>
      <c r="I266" t="inlineStr">
        <is>
          <t>Ithaca, NY</t>
        </is>
      </c>
      <c r="J266" t="inlineStr">
        <is>
          <t>QS</t>
        </is>
      </c>
      <c r="K266" t="n">
        <v>100</v>
      </c>
      <c r="L266" t="inlineStr">
        <is>
          <t>United States|Cornell University</t>
        </is>
      </c>
    </row>
    <row r="267">
      <c r="A267" s="5" t="inlineStr">
        <is>
          <t>International</t>
        </is>
      </c>
      <c r="B267" s="5" t="inlineStr">
        <is>
          <t>United States</t>
        </is>
      </c>
      <c r="C267" s="5" t="inlineStr"/>
      <c r="D267" s="5" t="inlineStr">
        <is>
          <t>Duke University</t>
        </is>
      </c>
      <c r="E267" t="inlineStr">
        <is>
          <t>QS Top 100</t>
        </is>
      </c>
      <c r="F267" t="n">
        <v>70</v>
      </c>
      <c r="G267" t="n">
        <v>2027</v>
      </c>
      <c r="H267" t="inlineStr">
        <is>
          <t>No</t>
        </is>
      </c>
      <c r="I267" t="inlineStr">
        <is>
          <t>Durham, NC</t>
        </is>
      </c>
      <c r="J267" t="inlineStr">
        <is>
          <t>QS</t>
        </is>
      </c>
      <c r="K267" t="n">
        <v>100</v>
      </c>
      <c r="L267" t="inlineStr">
        <is>
          <t>United States|Duke University</t>
        </is>
      </c>
    </row>
    <row r="268">
      <c r="A268" s="5" t="inlineStr">
        <is>
          <t>International</t>
        </is>
      </c>
      <c r="B268" s="5" t="inlineStr">
        <is>
          <t>United States</t>
        </is>
      </c>
      <c r="C268" s="5" t="inlineStr"/>
      <c r="D268" s="5" t="inlineStr">
        <is>
          <t>Harvard University</t>
        </is>
      </c>
      <c r="E268" t="inlineStr">
        <is>
          <t>QS Top 100</t>
        </is>
      </c>
      <c r="F268" t="n">
        <v>5</v>
      </c>
      <c r="G268" t="n">
        <v>2027</v>
      </c>
      <c r="H268" t="inlineStr">
        <is>
          <t>No</t>
        </is>
      </c>
      <c r="I268" t="inlineStr">
        <is>
          <t>Cambridge, MA</t>
        </is>
      </c>
      <c r="J268" t="inlineStr">
        <is>
          <t>QS</t>
        </is>
      </c>
      <c r="K268" t="n">
        <v>100</v>
      </c>
      <c r="L268" t="inlineStr">
        <is>
          <t>United States|Harvard University</t>
        </is>
      </c>
    </row>
    <row r="269">
      <c r="A269" s="5" t="inlineStr">
        <is>
          <t>International</t>
        </is>
      </c>
      <c r="B269" s="5" t="inlineStr">
        <is>
          <t>United States</t>
        </is>
      </c>
      <c r="C269" s="5" t="inlineStr"/>
      <c r="D269" s="5" t="inlineStr">
        <is>
          <t>Johns Hopkins University</t>
        </is>
      </c>
      <c r="E269" t="inlineStr">
        <is>
          <t>QS Top 100</t>
        </is>
      </c>
      <c r="F269" t="n">
        <v>20</v>
      </c>
      <c r="G269" t="n">
        <v>2027</v>
      </c>
      <c r="H269" t="inlineStr">
        <is>
          <t>No</t>
        </is>
      </c>
      <c r="I269" t="inlineStr">
        <is>
          <t>Baltimore, MD</t>
        </is>
      </c>
      <c r="J269" t="inlineStr">
        <is>
          <t>QS</t>
        </is>
      </c>
      <c r="K269" t="n">
        <v>100</v>
      </c>
      <c r="L269" t="inlineStr">
        <is>
          <t>United States|Johns Hopkins University</t>
        </is>
      </c>
    </row>
    <row r="270">
      <c r="A270" s="5" t="inlineStr">
        <is>
          <t>International</t>
        </is>
      </c>
      <c r="B270" s="5" t="inlineStr">
        <is>
          <t>United States</t>
        </is>
      </c>
      <c r="C270" s="5" t="inlineStr"/>
      <c r="D270" s="5" t="inlineStr">
        <is>
          <t>Massachusetts Institute of Technology (MIT)</t>
        </is>
      </c>
      <c r="E270" t="inlineStr">
        <is>
          <t>QS Top 100</t>
        </is>
      </c>
      <c r="F270" t="n">
        <v>1</v>
      </c>
      <c r="G270" t="n">
        <v>2027</v>
      </c>
      <c r="H270" t="inlineStr">
        <is>
          <t>No</t>
        </is>
      </c>
      <c r="I270" t="inlineStr">
        <is>
          <t>Cambridge, MA</t>
        </is>
      </c>
      <c r="J270" t="inlineStr">
        <is>
          <t>QS</t>
        </is>
      </c>
      <c r="K270" t="n">
        <v>100</v>
      </c>
      <c r="L270" t="inlineStr">
        <is>
          <t>United States|Massachusetts Institute of Technology (MIT)</t>
        </is>
      </c>
    </row>
    <row r="271">
      <c r="A271" s="5" t="inlineStr">
        <is>
          <t>International</t>
        </is>
      </c>
      <c r="B271" s="5" t="inlineStr">
        <is>
          <t>United States</t>
        </is>
      </c>
      <c r="C271" s="5" t="inlineStr"/>
      <c r="D271" s="5" t="inlineStr">
        <is>
          <t>New York University (NYU)</t>
        </is>
      </c>
      <c r="E271" t="inlineStr">
        <is>
          <t>QS Top 100</t>
        </is>
      </c>
      <c r="F271" t="n">
        <v>58</v>
      </c>
      <c r="G271" t="n">
        <v>2027</v>
      </c>
      <c r="H271" t="inlineStr">
        <is>
          <t>No</t>
        </is>
      </c>
      <c r="I271" t="inlineStr">
        <is>
          <t>New York, NY</t>
        </is>
      </c>
      <c r="J271" t="inlineStr">
        <is>
          <t>QS</t>
        </is>
      </c>
      <c r="K271" t="n">
        <v>100</v>
      </c>
      <c r="L271" t="inlineStr">
        <is>
          <t>United States|New York University (NYU)</t>
        </is>
      </c>
    </row>
    <row r="272">
      <c r="A272" s="5" t="inlineStr">
        <is>
          <t>International</t>
        </is>
      </c>
      <c r="B272" s="5" t="inlineStr">
        <is>
          <t>United States</t>
        </is>
      </c>
      <c r="C272" s="5" t="inlineStr"/>
      <c r="D272" s="5" t="inlineStr">
        <is>
          <t>Northwestern University</t>
        </is>
      </c>
      <c r="E272" t="inlineStr">
        <is>
          <t>QS Top 100</t>
        </is>
      </c>
      <c r="F272" t="n">
        <v>45</v>
      </c>
      <c r="G272" t="n">
        <v>2027</v>
      </c>
      <c r="H272" t="inlineStr">
        <is>
          <t>No</t>
        </is>
      </c>
      <c r="I272" t="inlineStr">
        <is>
          <t>Evanston, IL</t>
        </is>
      </c>
      <c r="J272" t="inlineStr">
        <is>
          <t>QS</t>
        </is>
      </c>
      <c r="K272" t="n">
        <v>100</v>
      </c>
      <c r="L272" t="inlineStr">
        <is>
          <t>United States|Northwestern University</t>
        </is>
      </c>
    </row>
    <row r="273">
      <c r="A273" s="5" t="inlineStr">
        <is>
          <t>International</t>
        </is>
      </c>
      <c r="B273" s="5" t="inlineStr">
        <is>
          <t>United States</t>
        </is>
      </c>
      <c r="C273" s="5" t="inlineStr"/>
      <c r="D273" s="5" t="inlineStr">
        <is>
          <t>Pennsylvania State University</t>
        </is>
      </c>
      <c r="E273" t="inlineStr">
        <is>
          <t>QS Top 100</t>
        </is>
      </c>
      <c r="F273" t="n">
        <v>92</v>
      </c>
      <c r="G273" t="n">
        <v>2027</v>
      </c>
      <c r="H273" t="inlineStr">
        <is>
          <t>No</t>
        </is>
      </c>
      <c r="I273" t="inlineStr">
        <is>
          <t>University Park, PA</t>
        </is>
      </c>
      <c r="J273" t="inlineStr">
        <is>
          <t>QS</t>
        </is>
      </c>
      <c r="K273" t="n">
        <v>100</v>
      </c>
      <c r="L273" t="inlineStr">
        <is>
          <t>United States|Pennsylvania State University</t>
        </is>
      </c>
    </row>
    <row r="274">
      <c r="A274" s="5" t="inlineStr">
        <is>
          <t>International</t>
        </is>
      </c>
      <c r="B274" s="5" t="inlineStr">
        <is>
          <t>United States</t>
        </is>
      </c>
      <c r="C274" s="5" t="inlineStr"/>
      <c r="D274" s="5" t="inlineStr">
        <is>
          <t>Princeton University</t>
        </is>
      </c>
      <c r="E274" t="inlineStr">
        <is>
          <t>QS Top 100</t>
        </is>
      </c>
      <c r="F274" t="n">
        <v>27</v>
      </c>
      <c r="G274" t="n">
        <v>2027</v>
      </c>
      <c r="H274" t="inlineStr">
        <is>
          <t>No</t>
        </is>
      </c>
      <c r="I274" t="inlineStr">
        <is>
          <t>Princeton, NJ</t>
        </is>
      </c>
      <c r="J274" t="inlineStr">
        <is>
          <t>QS</t>
        </is>
      </c>
      <c r="K274" t="n">
        <v>100</v>
      </c>
      <c r="L274" t="inlineStr">
        <is>
          <t>United States|Princeton University</t>
        </is>
      </c>
    </row>
    <row r="275">
      <c r="A275" s="5" t="inlineStr">
        <is>
          <t>International</t>
        </is>
      </c>
      <c r="B275" s="5" t="inlineStr">
        <is>
          <t>United States</t>
        </is>
      </c>
      <c r="C275" s="5" t="inlineStr"/>
      <c r="D275" s="5" t="inlineStr">
        <is>
          <t>Purdue University</t>
        </is>
      </c>
      <c r="E275" t="inlineStr">
        <is>
          <t>QS Top 100</t>
        </is>
      </c>
      <c r="F275" t="n">
        <v>100</v>
      </c>
      <c r="G275" t="n">
        <v>2027</v>
      </c>
      <c r="H275" t="inlineStr">
        <is>
          <t>No</t>
        </is>
      </c>
      <c r="I275" t="inlineStr">
        <is>
          <t>West Lafayette, IN</t>
        </is>
      </c>
      <c r="J275" t="inlineStr">
        <is>
          <t>QS</t>
        </is>
      </c>
      <c r="K275" t="n">
        <v>100</v>
      </c>
      <c r="L275" t="inlineStr">
        <is>
          <t>United States|Purdue University</t>
        </is>
      </c>
    </row>
    <row r="276">
      <c r="A276" s="5" t="inlineStr">
        <is>
          <t>International</t>
        </is>
      </c>
      <c r="B276" s="5" t="inlineStr">
        <is>
          <t>United States</t>
        </is>
      </c>
      <c r="C276" s="5" t="inlineStr"/>
      <c r="D276" s="5" t="inlineStr">
        <is>
          <t>Stanford University</t>
        </is>
      </c>
      <c r="E276" t="inlineStr">
        <is>
          <t>QS Top 100</t>
        </is>
      </c>
      <c r="F276" t="n">
        <v>2</v>
      </c>
      <c r="G276" t="n">
        <v>2027</v>
      </c>
      <c r="H276" t="inlineStr">
        <is>
          <t>No</t>
        </is>
      </c>
      <c r="I276" t="inlineStr">
        <is>
          <t>Stanford, CA</t>
        </is>
      </c>
      <c r="J276" t="inlineStr">
        <is>
          <t>QS</t>
        </is>
      </c>
      <c r="K276" t="n">
        <v>100</v>
      </c>
      <c r="L276" t="inlineStr">
        <is>
          <t>United States|Stanford University</t>
        </is>
      </c>
    </row>
    <row r="277">
      <c r="A277" s="5" t="inlineStr">
        <is>
          <t>International</t>
        </is>
      </c>
      <c r="B277" s="5" t="inlineStr">
        <is>
          <t>United States</t>
        </is>
      </c>
      <c r="C277" s="5" t="inlineStr"/>
      <c r="D277" s="5" t="inlineStr">
        <is>
          <t>University of California, Berkeley (UCB)</t>
        </is>
      </c>
      <c r="E277" t="inlineStr">
        <is>
          <t>QS Top 100</t>
        </is>
      </c>
      <c r="F277" t="n">
        <v>20</v>
      </c>
      <c r="G277" t="n">
        <v>2027</v>
      </c>
      <c r="H277" t="inlineStr">
        <is>
          <t>No</t>
        </is>
      </c>
      <c r="I277" t="inlineStr">
        <is>
          <t>Berkeley, CA</t>
        </is>
      </c>
      <c r="J277" t="inlineStr">
        <is>
          <t>QS</t>
        </is>
      </c>
      <c r="K277" t="n">
        <v>100</v>
      </c>
      <c r="L277" t="inlineStr">
        <is>
          <t>United States|University of California, Berkeley (UCB)</t>
        </is>
      </c>
    </row>
    <row r="278">
      <c r="A278" s="5" t="inlineStr">
        <is>
          <t>International</t>
        </is>
      </c>
      <c r="B278" s="5" t="inlineStr">
        <is>
          <t>United States</t>
        </is>
      </c>
      <c r="C278" s="5" t="inlineStr"/>
      <c r="D278" s="5" t="inlineStr">
        <is>
          <t>University of California, Los Angeles (UCLA)</t>
        </is>
      </c>
      <c r="E278" t="inlineStr">
        <is>
          <t>QS Top 100</t>
        </is>
      </c>
      <c r="F278" t="n">
        <v>49</v>
      </c>
      <c r="G278" t="n">
        <v>2027</v>
      </c>
      <c r="H278" t="inlineStr">
        <is>
          <t>No</t>
        </is>
      </c>
      <c r="I278" t="inlineStr">
        <is>
          <t>Los Angeles, CA</t>
        </is>
      </c>
      <c r="J278" t="inlineStr">
        <is>
          <t>QS</t>
        </is>
      </c>
      <c r="K278" t="n">
        <v>100</v>
      </c>
      <c r="L278" t="inlineStr">
        <is>
          <t>United States|University of California, Los Angeles (UCLA)</t>
        </is>
      </c>
    </row>
    <row r="279">
      <c r="A279" s="5" t="inlineStr">
        <is>
          <t>International</t>
        </is>
      </c>
      <c r="B279" s="5" t="inlineStr">
        <is>
          <t>United States</t>
        </is>
      </c>
      <c r="C279" s="5" t="inlineStr"/>
      <c r="D279" s="5" t="inlineStr">
        <is>
          <t>University of California, San Diego (UCSD)</t>
        </is>
      </c>
      <c r="E279" t="inlineStr">
        <is>
          <t>QS Top 100</t>
        </is>
      </c>
      <c r="F279" t="n">
        <v>81</v>
      </c>
      <c r="G279" t="n">
        <v>2027</v>
      </c>
      <c r="H279" t="inlineStr">
        <is>
          <t>No</t>
        </is>
      </c>
      <c r="I279" t="inlineStr">
        <is>
          <t>San Diego, CA</t>
        </is>
      </c>
      <c r="J279" t="inlineStr">
        <is>
          <t>QS</t>
        </is>
      </c>
      <c r="K279" t="n">
        <v>100</v>
      </c>
      <c r="L279" t="inlineStr">
        <is>
          <t>United States|University of California, San Diego (UCSD)</t>
        </is>
      </c>
    </row>
    <row r="280">
      <c r="A280" s="5" t="inlineStr">
        <is>
          <t>International</t>
        </is>
      </c>
      <c r="B280" s="5" t="inlineStr">
        <is>
          <t>United States</t>
        </is>
      </c>
      <c r="C280" s="5" t="inlineStr"/>
      <c r="D280" s="5" t="inlineStr">
        <is>
          <t>University of Chicago</t>
        </is>
      </c>
      <c r="E280" t="inlineStr">
        <is>
          <t>QS Top 100</t>
        </is>
      </c>
      <c r="F280" t="n">
        <v>24</v>
      </c>
      <c r="G280" t="n">
        <v>2027</v>
      </c>
      <c r="H280" t="inlineStr">
        <is>
          <t>No</t>
        </is>
      </c>
      <c r="I280" t="inlineStr">
        <is>
          <t>Chicago, IL</t>
        </is>
      </c>
      <c r="J280" t="inlineStr">
        <is>
          <t>QS</t>
        </is>
      </c>
      <c r="K280" t="n">
        <v>100</v>
      </c>
      <c r="L280" t="inlineStr">
        <is>
          <t>United States|University of Chicago</t>
        </is>
      </c>
    </row>
    <row r="281">
      <c r="A281" s="5" t="inlineStr">
        <is>
          <t>International</t>
        </is>
      </c>
      <c r="B281" s="5" t="inlineStr">
        <is>
          <t>United States</t>
        </is>
      </c>
      <c r="C281" s="5" t="inlineStr"/>
      <c r="D281" s="5" t="inlineStr">
        <is>
          <t>University of Illinois Urbana-Champaign</t>
        </is>
      </c>
      <c r="E281" t="inlineStr">
        <is>
          <t>QS Top 100</t>
        </is>
      </c>
      <c r="F281" t="n">
        <v>74</v>
      </c>
      <c r="G281" t="n">
        <v>2027</v>
      </c>
      <c r="H281" t="inlineStr">
        <is>
          <t>No</t>
        </is>
      </c>
      <c r="I281" t="inlineStr">
        <is>
          <t>Urbana-Champaign, IL</t>
        </is>
      </c>
      <c r="J281" t="inlineStr">
        <is>
          <t>QS</t>
        </is>
      </c>
      <c r="K281" t="n">
        <v>100</v>
      </c>
      <c r="L281" t="inlineStr">
        <is>
          <t>United States|University of Illinois Urbana-Champaign</t>
        </is>
      </c>
    </row>
    <row r="282">
      <c r="A282" s="5" t="inlineStr">
        <is>
          <t>International</t>
        </is>
      </c>
      <c r="B282" s="5" t="inlineStr">
        <is>
          <t>United States</t>
        </is>
      </c>
      <c r="C282" s="5" t="inlineStr"/>
      <c r="D282" s="5" t="inlineStr">
        <is>
          <t>University of Michigan-Ann Arbor</t>
        </is>
      </c>
      <c r="E282" t="inlineStr">
        <is>
          <t>QS Top 100</t>
        </is>
      </c>
      <c r="F282" t="n">
        <v>51</v>
      </c>
      <c r="G282" t="n">
        <v>2027</v>
      </c>
      <c r="H282" t="inlineStr">
        <is>
          <t>No</t>
        </is>
      </c>
      <c r="I282" t="inlineStr">
        <is>
          <t>Ann Arbor, MI</t>
        </is>
      </c>
      <c r="J282" t="inlineStr">
        <is>
          <t>QS</t>
        </is>
      </c>
      <c r="K282" t="n">
        <v>100</v>
      </c>
      <c r="L282" t="inlineStr">
        <is>
          <t>United States|University of Michigan-Ann Arbor</t>
        </is>
      </c>
    </row>
    <row r="283">
      <c r="A283" s="5" t="inlineStr">
        <is>
          <t>International</t>
        </is>
      </c>
      <c r="B283" s="5" t="inlineStr">
        <is>
          <t>United States</t>
        </is>
      </c>
      <c r="C283" s="5" t="inlineStr"/>
      <c r="D283" s="5" t="inlineStr">
        <is>
          <t>University of Pennsylvania</t>
        </is>
      </c>
      <c r="E283" t="inlineStr">
        <is>
          <t>QS Top 100</t>
        </is>
      </c>
      <c r="F283" t="n">
        <v>15</v>
      </c>
      <c r="G283" t="n">
        <v>2027</v>
      </c>
      <c r="H283" t="inlineStr">
        <is>
          <t>No</t>
        </is>
      </c>
      <c r="I283" t="inlineStr">
        <is>
          <t>Philadelphia, PA</t>
        </is>
      </c>
      <c r="J283" t="inlineStr">
        <is>
          <t>QS</t>
        </is>
      </c>
      <c r="K283" t="n">
        <v>100</v>
      </c>
      <c r="L283" t="inlineStr">
        <is>
          <t>United States|University of Pennsylvania</t>
        </is>
      </c>
    </row>
    <row r="284">
      <c r="A284" s="5" t="inlineStr">
        <is>
          <t>International</t>
        </is>
      </c>
      <c r="B284" s="5" t="inlineStr">
        <is>
          <t>United States</t>
        </is>
      </c>
      <c r="C284" s="5" t="inlineStr"/>
      <c r="D284" s="5" t="inlineStr">
        <is>
          <t>University of Texas at Austin</t>
        </is>
      </c>
      <c r="E284" t="inlineStr">
        <is>
          <t>QS Top 100</t>
        </is>
      </c>
      <c r="F284" t="n">
        <v>72</v>
      </c>
      <c r="G284" t="n">
        <v>2027</v>
      </c>
      <c r="H284" t="inlineStr">
        <is>
          <t>No</t>
        </is>
      </c>
      <c r="I284" t="inlineStr">
        <is>
          <t>Austin, TX</t>
        </is>
      </c>
      <c r="J284" t="inlineStr">
        <is>
          <t>QS</t>
        </is>
      </c>
      <c r="K284" t="n">
        <v>100</v>
      </c>
      <c r="L284" t="inlineStr">
        <is>
          <t>United States|University of Texas at Austin</t>
        </is>
      </c>
    </row>
    <row r="285">
      <c r="A285" s="5" t="inlineStr">
        <is>
          <t>International</t>
        </is>
      </c>
      <c r="B285" s="5" t="inlineStr">
        <is>
          <t>United States</t>
        </is>
      </c>
      <c r="C285" s="5" t="inlineStr"/>
      <c r="D285" s="5" t="inlineStr">
        <is>
          <t>University of Washington</t>
        </is>
      </c>
      <c r="E285" t="inlineStr">
        <is>
          <t>QS Top 100</t>
        </is>
      </c>
      <c r="F285" t="n">
        <v>92</v>
      </c>
      <c r="G285" t="n">
        <v>2027</v>
      </c>
      <c r="H285" t="inlineStr">
        <is>
          <t>No</t>
        </is>
      </c>
      <c r="I285" t="inlineStr">
        <is>
          <t>Seattle, WA</t>
        </is>
      </c>
      <c r="J285" t="inlineStr">
        <is>
          <t>QS</t>
        </is>
      </c>
      <c r="K285" t="n">
        <v>100</v>
      </c>
      <c r="L285" t="inlineStr">
        <is>
          <t>United States|University of Washington</t>
        </is>
      </c>
    </row>
    <row r="286">
      <c r="A286" s="5" t="inlineStr">
        <is>
          <t>International</t>
        </is>
      </c>
      <c r="B286" s="5" t="inlineStr">
        <is>
          <t>United States</t>
        </is>
      </c>
      <c r="C286" s="5" t="inlineStr"/>
      <c r="D286" s="5" t="inlineStr">
        <is>
          <t>Yale University</t>
        </is>
      </c>
      <c r="E286" t="inlineStr">
        <is>
          <t>QS Top 100</t>
        </is>
      </c>
      <c r="F286" t="n">
        <v>16</v>
      </c>
      <c r="G286" t="n">
        <v>2027</v>
      </c>
      <c r="H286" t="inlineStr">
        <is>
          <t>No</t>
        </is>
      </c>
      <c r="I286" t="inlineStr">
        <is>
          <t>New Haven, CT</t>
        </is>
      </c>
      <c r="J286" t="inlineStr">
        <is>
          <t>QS</t>
        </is>
      </c>
      <c r="K286" t="n">
        <v>100</v>
      </c>
      <c r="L286" t="inlineStr">
        <is>
          <t>United States|Yale University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pageMargins left="0.75" right="0.75" top="1" bottom="1" header="0.5" footer="0.5"/>
  <pageSetup orientation="landscape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S24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14" customWidth="1" min="17" max="17"/>
    <col width="18" customWidth="1" min="18" max="18"/>
    <col width="22" customWidth="1" min="19" max="19"/>
  </cols>
  <sheetData>
    <row r="1">
      <c r="A1" s="13" t="inlineStr">
        <is>
          <t>District</t>
        </is>
      </c>
      <c r="B1" s="13" t="inlineStr">
        <is>
          <t>Board</t>
        </is>
      </c>
      <c r="C1" s="13" t="inlineStr">
        <is>
          <t>Relationship</t>
        </is>
      </c>
      <c r="D1" s="13" t="inlineStr">
        <is>
          <t>Component</t>
        </is>
      </c>
      <c r="E1" s="13" t="inlineStr">
        <is>
          <t>Level</t>
        </is>
      </c>
      <c r="F1" s="13" t="inlineStr">
        <is>
          <t>YesNo</t>
        </is>
      </c>
      <c r="G1" s="13" t="inlineStr">
        <is>
          <t>Category</t>
        </is>
      </c>
      <c r="H1" s="13" t="inlineStr">
        <is>
          <t>Band</t>
        </is>
      </c>
      <c r="I1" s="13" t="inlineStr">
        <is>
          <t>PayMode</t>
        </is>
      </c>
      <c r="J1" s="13" t="inlineStr">
        <is>
          <t>Intake</t>
        </is>
      </c>
      <c r="K1" s="13" t="inlineStr">
        <is>
          <t>StudyMode</t>
        </is>
      </c>
      <c r="L1" s="13" t="inlineStr">
        <is>
          <t>Currency</t>
        </is>
      </c>
      <c r="M1" s="13" t="inlineStr">
        <is>
          <t>RequestType</t>
        </is>
      </c>
      <c r="N1" s="13" t="inlineStr">
        <is>
          <t>WithdrawReason</t>
        </is>
      </c>
      <c r="O1" s="13" t="inlineStr">
        <is>
          <t>DocStatus</t>
        </is>
      </c>
      <c r="P1" s="13" t="inlineStr">
        <is>
          <t>Gender</t>
        </is>
      </c>
      <c r="Q1" s="13" t="inlineStr">
        <is>
          <t>AcType</t>
        </is>
      </c>
      <c r="R1" s="13" t="inlineStr">
        <is>
          <t>CONST</t>
        </is>
      </c>
    </row>
    <row r="2">
      <c r="A2" s="5" t="inlineStr">
        <is>
          <t>Alipurduar</t>
        </is>
      </c>
      <c r="B2" s="5" t="inlineStr">
        <is>
          <t>WBBSE</t>
        </is>
      </c>
      <c r="C2" s="5" t="inlineStr">
        <is>
          <t>Father</t>
        </is>
      </c>
      <c r="D2" s="5" t="inlineStr">
        <is>
          <t>International</t>
        </is>
      </c>
      <c r="E2" s="5" t="inlineStr">
        <is>
          <t>Undergraduate</t>
        </is>
      </c>
      <c r="F2" s="5" t="inlineStr">
        <is>
          <t>Yes</t>
        </is>
      </c>
      <c r="G2" s="5" t="inlineStr">
        <is>
          <t>QS Top 100</t>
        </is>
      </c>
      <c r="H2" s="5" t="inlineStr">
        <is>
          <t>100%</t>
        </is>
      </c>
      <c r="I2" s="5" t="inlineStr">
        <is>
          <t>DBT reimbursement</t>
        </is>
      </c>
      <c r="J2" s="5" t="inlineStr">
        <is>
          <t>Autumn / Fall / Regular</t>
        </is>
      </c>
      <c r="K2" s="5" t="inlineStr">
        <is>
          <t>Regular</t>
        </is>
      </c>
      <c r="L2" s="5" t="inlineStr">
        <is>
          <t>INR</t>
        </is>
      </c>
      <c r="M2" s="5" t="inlineStr">
        <is>
          <t>Deferral of admission / gap year (Clause 4.2)</t>
        </is>
      </c>
      <c r="N2" s="5" t="inlineStr">
        <is>
          <t>Voluntary withdrawal</t>
        </is>
      </c>
      <c r="O2" s="5" t="inlineStr">
        <is>
          <t>Uploaded / Available</t>
        </is>
      </c>
      <c r="P2" s="5" t="inlineStr">
        <is>
          <t>Female</t>
        </is>
      </c>
      <c r="Q2" s="5" t="inlineStr">
        <is>
          <t>Savings</t>
        </is>
      </c>
      <c r="R2" s="5" t="inlineStr">
        <is>
          <t>SchemeStart</t>
        </is>
      </c>
      <c r="S2" s="5" t="n">
        <v>46113</v>
      </c>
    </row>
    <row r="3" ht="20" customHeight="1">
      <c r="A3" s="3" t="inlineStr">
        <is>
          <t>Bankura</t>
        </is>
      </c>
      <c r="B3" s="5" t="inlineStr">
        <is>
          <t>WBCHSE</t>
        </is>
      </c>
      <c r="C3" s="5" t="inlineStr">
        <is>
          <t>Mother</t>
        </is>
      </c>
      <c r="D3" s="5" t="inlineStr">
        <is>
          <t>Domestic</t>
        </is>
      </c>
      <c r="E3" s="5" t="inlineStr">
        <is>
          <t>Master's</t>
        </is>
      </c>
      <c r="F3" s="5" t="inlineStr">
        <is>
          <t>No</t>
        </is>
      </c>
      <c r="G3" s="5" t="inlineStr">
        <is>
          <t>INI</t>
        </is>
      </c>
      <c r="H3" s="5" t="inlineStr">
        <is>
          <t>90%</t>
        </is>
      </c>
      <c r="I3" s="5" t="inlineStr">
        <is>
          <t>Direct institutional payment</t>
        </is>
      </c>
      <c r="J3" s="5" t="inlineStr">
        <is>
          <t>Spring</t>
        </is>
      </c>
      <c r="L3" s="5" t="inlineStr">
        <is>
          <t>USD</t>
        </is>
      </c>
      <c r="M3" s="5" t="inlineStr">
        <is>
          <t>Leave of absence (Clause 4.4)</t>
        </is>
      </c>
      <c r="N3" s="5" t="inlineStr">
        <is>
          <t>Discontinuation</t>
        </is>
      </c>
      <c r="O3" s="5" t="inlineStr">
        <is>
          <t>Not available</t>
        </is>
      </c>
      <c r="P3" s="5" t="inlineStr">
        <is>
          <t>Male</t>
        </is>
      </c>
      <c r="Q3" s="5" t="inlineStr">
        <is>
          <t>Current</t>
        </is>
      </c>
      <c r="R3" s="5" t="inlineStr">
        <is>
          <t>GO</t>
        </is>
      </c>
      <c r="S3" s="5" t="inlineStr">
        <is>
          <t>336-(T)10M-15/2026</t>
        </is>
      </c>
    </row>
    <row r="4">
      <c r="A4" s="4" t="inlineStr">
        <is>
          <t>Birbhum</t>
        </is>
      </c>
      <c r="B4" s="5" t="inlineStr">
        <is>
          <t>WBBME</t>
        </is>
      </c>
      <c r="C4" s="5" t="inlineStr">
        <is>
          <t>Legal Guardian</t>
        </is>
      </c>
      <c r="G4" s="5" t="inlineStr">
        <is>
          <t>Public IoE</t>
        </is>
      </c>
      <c r="H4" s="5" t="inlineStr">
        <is>
          <t>75%</t>
        </is>
      </c>
      <c r="J4" s="5" t="inlineStr">
        <is>
          <t>Summer</t>
        </is>
      </c>
      <c r="L4" s="5" t="inlineStr">
        <is>
          <t>GBP</t>
        </is>
      </c>
      <c r="M4" s="5" t="inlineStr">
        <is>
          <t>Change of institution (Clause 4.6)</t>
        </is>
      </c>
      <c r="N4" s="5" t="inlineStr">
        <is>
          <t>Expulsion</t>
        </is>
      </c>
      <c r="O4" s="5" t="inlineStr">
        <is>
          <t>Not applicable</t>
        </is>
      </c>
      <c r="P4" s="5" t="inlineStr">
        <is>
          <t>Other / Prefer not to state</t>
        </is>
      </c>
      <c r="R4" s="5" t="inlineStr">
        <is>
          <t>GODate</t>
        </is>
      </c>
      <c r="S4" s="5" t="n">
        <v>46274</v>
      </c>
    </row>
    <row r="5">
      <c r="A5" s="5" t="inlineStr">
        <is>
          <t>Cooch Behar</t>
        </is>
      </c>
      <c r="B5" s="5" t="inlineStr">
        <is>
          <t>WBSCT&amp;VE&amp;SD</t>
        </is>
      </c>
      <c r="C5" s="5" t="inlineStr">
        <is>
          <t>Self (orphan scholar is the elector)</t>
        </is>
      </c>
      <c r="G5" s="5" t="inlineStr">
        <is>
          <t>NIRF Top 50</t>
        </is>
      </c>
      <c r="H5" s="5" t="inlineStr">
        <is>
          <t>Not eligible</t>
        </is>
      </c>
      <c r="J5" s="5" t="inlineStr">
        <is>
          <t>Winter</t>
        </is>
      </c>
      <c r="L5" s="5" t="inlineStr">
        <is>
          <t>EUR</t>
        </is>
      </c>
      <c r="M5" s="5" t="inlineStr">
        <is>
          <t>Change of programme (Clause 4.6)</t>
        </is>
      </c>
      <c r="N5" s="5" t="inlineStr">
        <is>
          <t>Cancellation of admission</t>
        </is>
      </c>
      <c r="R5" s="5" t="inlineStr">
        <is>
          <t>TemplateVer</t>
        </is>
      </c>
      <c r="S5" s="5" t="inlineStr">
        <is>
          <t>1.3 / AY 2026-27</t>
        </is>
      </c>
    </row>
    <row r="6">
      <c r="A6" s="5" t="inlineStr">
        <is>
          <t>Dakshin Dinajpur</t>
        </is>
      </c>
      <c r="B6" s="5" t="inlineStr">
        <is>
          <t>CBSE</t>
        </is>
      </c>
      <c r="J6" s="5" t="inlineStr">
        <is>
          <t>Other official intake</t>
        </is>
      </c>
      <c r="L6" s="5" t="inlineStr">
        <is>
          <t>AUD</t>
        </is>
      </c>
      <c r="N6" s="5" t="inlineStr">
        <is>
          <t>Transfer without approval</t>
        </is>
      </c>
      <c r="R6" s="5" t="inlineStr">
        <is>
          <t>Pwd</t>
        </is>
      </c>
      <c r="S6" s="5" t="inlineStr">
        <is>
          <t>SVMS2026</t>
        </is>
      </c>
    </row>
    <row r="7">
      <c r="A7" s="5" t="inlineStr">
        <is>
          <t>Darjeeling</t>
        </is>
      </c>
      <c r="B7" s="5" t="inlineStr">
        <is>
          <t>CISCE / ISC / ICSE</t>
        </is>
      </c>
      <c r="L7" s="5" t="inlineStr">
        <is>
          <t>CAD</t>
        </is>
      </c>
      <c r="N7" s="5" t="inlineStr">
        <is>
          <t>Completion / not applicable</t>
        </is>
      </c>
    </row>
    <row r="8">
      <c r="A8" s="5" t="inlineStr">
        <is>
          <t>Hooghly</t>
        </is>
      </c>
      <c r="B8" s="5" t="inlineStr">
        <is>
          <t>NIOS (regular recognised centre in WB)</t>
        </is>
      </c>
      <c r="L8" s="5" t="inlineStr">
        <is>
          <t>SGD</t>
        </is>
      </c>
      <c r="N8" s="5" t="inlineStr">
        <is>
          <t>Other</t>
        </is>
      </c>
    </row>
    <row r="9">
      <c r="A9" s="5" t="inlineStr">
        <is>
          <t>Howrah</t>
        </is>
      </c>
      <c r="B9" s="5" t="inlineStr">
        <is>
          <t>Visva-Bharati / other recognised Board</t>
        </is>
      </c>
      <c r="L9" s="5" t="inlineStr">
        <is>
          <t>JPY</t>
        </is>
      </c>
    </row>
    <row r="10">
      <c r="A10" s="5" t="inlineStr">
        <is>
          <t>Jalpaiguri</t>
        </is>
      </c>
      <c r="B10" s="5" t="inlineStr">
        <is>
          <t>Other recognised Board (school in West Bengal)</t>
        </is>
      </c>
      <c r="L10" s="5" t="inlineStr">
        <is>
          <t>CHF</t>
        </is>
      </c>
    </row>
    <row r="11">
      <c r="A11" s="5" t="inlineStr">
        <is>
          <t>Jhargram</t>
        </is>
      </c>
      <c r="L11" s="5" t="inlineStr">
        <is>
          <t>NZD</t>
        </is>
      </c>
    </row>
    <row r="12">
      <c r="A12" s="5" t="inlineStr">
        <is>
          <t>Kalimpong</t>
        </is>
      </c>
      <c r="L12" s="5" t="inlineStr">
        <is>
          <t>SEK</t>
        </is>
      </c>
    </row>
    <row r="13">
      <c r="A13" s="5" t="inlineStr">
        <is>
          <t>Kolkata</t>
        </is>
      </c>
      <c r="L13" s="5" t="inlineStr">
        <is>
          <t>Other</t>
        </is>
      </c>
    </row>
    <row r="14">
      <c r="A14" s="5" t="inlineStr">
        <is>
          <t>Malda</t>
        </is>
      </c>
    </row>
    <row r="15">
      <c r="A15" s="5" t="inlineStr">
        <is>
          <t>Murshidabad</t>
        </is>
      </c>
    </row>
    <row r="16">
      <c r="A16" s="5" t="inlineStr">
        <is>
          <t>Nadia</t>
        </is>
      </c>
    </row>
    <row r="17">
      <c r="A17" s="5" t="inlineStr">
        <is>
          <t>North 24 Parganas</t>
        </is>
      </c>
    </row>
    <row r="18">
      <c r="A18" s="5" t="inlineStr">
        <is>
          <t>Paschim Bardhaman</t>
        </is>
      </c>
    </row>
    <row r="19">
      <c r="A19" s="5" t="inlineStr">
        <is>
          <t>Paschim Medinipur</t>
        </is>
      </c>
    </row>
    <row r="20">
      <c r="A20" s="5" t="inlineStr">
        <is>
          <t>Purba Bardhaman</t>
        </is>
      </c>
    </row>
    <row r="21">
      <c r="A21" s="5" t="inlineStr">
        <is>
          <t>Purba Medinipur</t>
        </is>
      </c>
    </row>
    <row r="22">
      <c r="A22" s="5" t="inlineStr">
        <is>
          <t>Purulia</t>
        </is>
      </c>
    </row>
    <row r="23">
      <c r="A23" s="5" t="inlineStr">
        <is>
          <t>South 24 Parganas</t>
        </is>
      </c>
    </row>
    <row r="24">
      <c r="A24" s="5" t="inlineStr">
        <is>
          <t>Uttar Dinajpur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DA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2026-09-29T06:44:11Z</dcterms:created>
  <dcterms:modified xmlns:dcterms="http://purl.org/dc/terms/" xmlns:xsi="http://www.w3.org/2001/XMLSchema-instance" xsi:type="dcterms:W3CDTF">2026-10-05T07:22:45Z</dcterms:modified>
</cp:coreProperties>
</file>